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0920" activeTab="0"/>
  </bookViews>
  <sheets>
    <sheet name="Arkusz1" sheetId="1" r:id="rId1"/>
  </sheets>
  <definedNames>
    <definedName name="_xlnm.Print_Area" localSheetId="0">'Arkusz1'!$A$1:$I$188</definedName>
  </definedNames>
  <calcPr fullCalcOnLoad="1"/>
</workbook>
</file>

<file path=xl/sharedStrings.xml><?xml version="1.0" encoding="utf-8"?>
<sst xmlns="http://schemas.openxmlformats.org/spreadsheetml/2006/main" count="385" uniqueCount="216">
  <si>
    <t>ORAZ  ICH  STRUKTURA</t>
  </si>
  <si>
    <t>Dział</t>
  </si>
  <si>
    <t>Rozdział</t>
  </si>
  <si>
    <t>Paragraf</t>
  </si>
  <si>
    <t>Źródło dochodów</t>
  </si>
  <si>
    <t>Ogółem</t>
  </si>
  <si>
    <t>w tym:</t>
  </si>
  <si>
    <t>Bieżące</t>
  </si>
  <si>
    <t>Majątkowe</t>
  </si>
  <si>
    <t>010</t>
  </si>
  <si>
    <t>ROLNICTWO  I   ŁOWIECTWO</t>
  </si>
  <si>
    <t>01005</t>
  </si>
  <si>
    <t>Prace geodezyjno - 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</si>
  <si>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</si>
  <si>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</si>
  <si>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01008</t>
  </si>
  <si>
    <t>Melioracje wodne</t>
  </si>
  <si>
    <t>2360</t>
  </si>
  <si>
    <t>Dochody jednostek samorządu terytorialnego związane z realizacją zadań z zakresu administracji rządowej oraz innych zadań zleconych ustawami</t>
  </si>
  <si>
    <t>020</t>
  </si>
  <si>
    <t>LEŚNICTWO</t>
  </si>
  <si>
    <t>02001</t>
  </si>
  <si>
    <t>Gospodarka leśna</t>
  </si>
  <si>
    <t>2460</t>
  </si>
  <si>
    <t>Środki otrzymane od pozostałych jednostek zaliczanych do sektora finansów publicznych na realizację zadań bieżących jednostek zaliczanych do sektora finansów publicznych</t>
  </si>
  <si>
    <t>600</t>
  </si>
  <si>
    <t>TRANSPORT  I  ŁĄCZNOŚĆ</t>
  </si>
  <si>
    <t>60014</t>
  </si>
  <si>
    <t>Drogi publiczne powiatowe</t>
  </si>
  <si>
    <t>0870</t>
  </si>
  <si>
    <t>Wpływy ze sprzedaży składników majątkowych</t>
  </si>
  <si>
    <t>0970</t>
  </si>
  <si>
    <t>Wpływy z różnych dochodów</t>
  </si>
  <si>
    <t>700</t>
  </si>
  <si>
    <t>GOSPODARKA MIESZKANIOWA</t>
  </si>
  <si>
    <t>70005</t>
  </si>
  <si>
    <t>Gospodarka gruntami i nieruchomościami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</si>
  <si>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</si>
  <si>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</si>
  <si>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0470</t>
  </si>
  <si>
    <t>Wpływy z opłat za zarząd, uzytkowanie i użytkowanie wieczyste nieruchomości</t>
  </si>
  <si>
    <t>0770</t>
  </si>
  <si>
    <t>Wpłaty z tytułu odpłatnego nabycia prawa własności oraz prawa użytkowania wieczystego nieruchomości</t>
  </si>
  <si>
    <t>0920</t>
  </si>
  <si>
    <t>Pozostałe odsetki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</si>
  <si>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</si>
  <si>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</si>
  <si>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</si>
  <si>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</si>
  <si>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</si>
  <si>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</si>
  <si>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</si>
  <si>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</si>
  <si>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</si>
  <si>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</si>
  <si>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</si>
  <si>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</si>
  <si>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75018</t>
  </si>
  <si>
    <t>Urzędy marszałkowskie</t>
  </si>
  <si>
    <t>75020</t>
  </si>
  <si>
    <t>Starostwa powiatowe</t>
  </si>
  <si>
    <t>0690</t>
  </si>
  <si>
    <t>Wpływy z różnych opłat</t>
  </si>
  <si>
    <t>75045</t>
  </si>
  <si>
    <t>Kwalifikacja wojskowa</t>
  </si>
  <si>
    <t>2120</t>
  </si>
  <si>
    <t>Dotacje celowe otrzymane z budżetu państwa na zadania bieżące realizowane przez powiat na podstawie porozumień z organami administracji rządowej</t>
  </si>
  <si>
    <t>754</t>
  </si>
  <si>
    <t>BEZPIECZEŃSTWO PUBLICZNE  I  OCHRONA PRZECIWPOŻAROWA</t>
  </si>
  <si>
    <t>75411</t>
  </si>
  <si>
    <t>Komendy powiatowe Państwowej Straży Pożarnej</t>
  </si>
  <si>
    <t>6410</t>
  </si>
  <si>
    <t>Dotacje celowe otrzymane z budżetu państwa na inwestycje i zakupy inwestycyjne z zakresu administracji rządowej oraz inne zadania zlecone ustawami realizowane przez powiat</t>
  </si>
  <si>
    <t>756</t>
  </si>
  <si>
    <t>DOCHODY OD OSÓB PRAWNYCH, OD OSÓB FIZYCZNYCH  I  OD INNYCH JEDNOSTEK NIEPOSIADAJĄCYCH OSOBOWOŚCI PRAWNEJ ORAZ WYDATKI ZWIĄZANE  Z  ICH POBOREM</t>
  </si>
  <si>
    <t>75618</t>
  </si>
  <si>
    <t>Wpływy z innych opłat stanowiących dochody jednostek samorządu terytorialnego na podstawie ustaw</t>
  </si>
  <si>
    <t>0420</t>
  </si>
  <si>
    <t>Wpływy z opłaty komunikacyjnej</t>
  </si>
  <si>
    <t>0490</t>
  </si>
  <si>
    <t>Wpływy z innych lokalnych opłat pobieranych przez jednostki samorządu terytorialnego na podstawie ustaw</t>
  </si>
  <si>
    <t>0580</t>
  </si>
  <si>
    <t>Grzywny i inne kary pieniężne od osób prawnych i innych jednostek organizacyjnych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</si>
  <si>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</si>
  <si>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</si>
  <si>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</si>
  <si>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</si>
  <si>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</si>
  <si>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</si>
  <si>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</si>
  <si>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</si>
  <si>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</si>
  <si>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</si>
  <si>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</si>
  <si>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</si>
  <si>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</si>
  <si>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</si>
  <si>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</si>
  <si>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</si>
  <si>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75832</t>
  </si>
  <si>
    <t>Część równoważąca subwencji ogólnej dla powiatów</t>
  </si>
  <si>
    <t>801</t>
  </si>
  <si>
    <t>OŚWIATA  I  WYCHOWANIE</t>
  </si>
  <si>
    <t>80120</t>
  </si>
  <si>
    <t>Licea ogólnokształcące</t>
  </si>
  <si>
    <t>2707</t>
  </si>
  <si>
    <t>Środki na dofinansowanie własnych zadań bieżących gmin (zw.gmin), powiatów (zw. powiatów), samorządów województw, pozyskane z innych źródeł</t>
  </si>
  <si>
    <t>80130</t>
  </si>
  <si>
    <t>Szkoły zawodowe</t>
  </si>
  <si>
    <t>2310</t>
  </si>
  <si>
    <t>Dotacje celowe otrzymane z gminy na zadania bieżące realizowane na podstawie porozumień (umów) między jednostkami samorządu terytorialnego</t>
  </si>
  <si>
    <t>80140</t>
  </si>
  <si>
    <t>Centra kształcenia ustawicznego i praktycznego oraz ośrodki dokształcania zawodowego</t>
  </si>
  <si>
    <t>80148</t>
  </si>
  <si>
    <t>0830</t>
  </si>
  <si>
    <t>Wpływy z usług</t>
  </si>
  <si>
    <t>851</t>
  </si>
  <si>
    <t>OCHRONA  ZDROWIA</t>
  </si>
  <si>
    <t>85156</t>
  </si>
  <si>
    <t>Składki na ubezpieczenie zdrowotne oraz świadczenia dla osób nieobjętych obowiązkiem ubezpieczenia zdrowotnego</t>
  </si>
  <si>
    <t>852</t>
  </si>
  <si>
    <t>POMOC  SPOŁECZNA</t>
  </si>
  <si>
    <t>85201</t>
  </si>
  <si>
    <t>Placówki opiekuńczo - wychowawcze</t>
  </si>
  <si>
    <t>2320</t>
  </si>
  <si>
    <t>Dotacje celowe otrzymane z powiatu na zadania bieżące realizowane na podstawie porozumień (umów) między jednostkami samorządu terytorialnego</t>
  </si>
  <si>
    <t>85202</t>
  </si>
  <si>
    <t>Domy pomocy społecznej</t>
  </si>
  <si>
    <t>2130</t>
  </si>
  <si>
    <t>Dotacje celowe otrzymane z budżetu państwa na realizację bieżących zadań własnych powiatu</t>
  </si>
  <si>
    <t>Wpływy  z usług</t>
  </si>
  <si>
    <t>85204</t>
  </si>
  <si>
    <t>Rodziny zastępcze</t>
  </si>
  <si>
    <t>85218</t>
  </si>
  <si>
    <t>Powiatowe centra pomocy rodzinie</t>
  </si>
  <si>
    <t>85220</t>
  </si>
  <si>
    <t>Jednostki specjalistycznego poradnictwa, mieszkania chronione i ośrodki interwencji kryzysowej</t>
  </si>
  <si>
    <t>853</t>
  </si>
  <si>
    <t>POZOSTAŁE ZADANIA  W  ZAKRESIE POLITYKI SPOŁECZNEJ</t>
  </si>
  <si>
    <t>85321</t>
  </si>
  <si>
    <t>85322</t>
  </si>
  <si>
    <t>Fundusz Pracy</t>
  </si>
  <si>
    <t>2690</t>
  </si>
  <si>
    <t>Środki z Funduszu Pracy otrzymane przez powiat z przeznaczeniem na finansowanie kosztów wynagrodzenia i składek na ubezpieczenia społeczne pracowników powiatowego urzędu pracy</t>
  </si>
  <si>
    <t>85324</t>
  </si>
  <si>
    <t>Państwowy Fundusz Rehabilitacji Osób Niepełnosprawnych</t>
  </si>
  <si>
    <t>85333</t>
  </si>
  <si>
    <t>Powiatowe urzędy pracy</t>
  </si>
  <si>
    <t>85395</t>
  </si>
  <si>
    <t>Pozostała działalność</t>
  </si>
  <si>
    <t>2008</t>
  </si>
  <si>
    <t>2009</t>
  </si>
  <si>
    <t>854</t>
  </si>
  <si>
    <t>EDUKACYJNA  OPIEKA  WYCHOWAWCZA</t>
  </si>
  <si>
    <t>85403</t>
  </si>
  <si>
    <t>Specjalne ośrodki szkolno-wychowawcze</t>
  </si>
  <si>
    <t>85406</t>
  </si>
  <si>
    <t>Poradnie psychologiczno - pedagogiczne, w tym poradnie specjalistyczne</t>
  </si>
  <si>
    <t>85407</t>
  </si>
  <si>
    <t>Placówki wychowania pozaszkolnego</t>
  </si>
  <si>
    <t>85410</t>
  </si>
  <si>
    <t>Internaty i bursy szkolne</t>
  </si>
  <si>
    <t>85420</t>
  </si>
  <si>
    <t>Młodzieżowe ośrodki wychowawcze</t>
  </si>
  <si>
    <t>900</t>
  </si>
  <si>
    <t>GOSPODARKA KOMUNALNA  I  OCHRONA ŚRODOWISKA</t>
  </si>
  <si>
    <t>921</t>
  </si>
  <si>
    <t>KULTURA  I  OCHRONA DZIEDZICTWA NARODOWEGO</t>
  </si>
  <si>
    <t>92195</t>
  </si>
  <si>
    <t>OGÓŁEM DOCHODY</t>
  </si>
  <si>
    <t>Dochody pozyskane z innych źródeł</t>
  </si>
  <si>
    <t>Dochody własne</t>
  </si>
  <si>
    <t xml:space="preserve">  </t>
  </si>
  <si>
    <t>1</t>
  </si>
  <si>
    <t>2</t>
  </si>
  <si>
    <t>3</t>
  </si>
  <si>
    <t>4</t>
  </si>
  <si>
    <t>2700</t>
  </si>
  <si>
    <t>Dotacje celowe w ramach programów finansowanych z udziałem środków europejskich oraz środków,  o których mowa w art. 5 ust. 1 pkt. 3 oraz ust. 3 pkt. 5 i 6 ustawy, lub płatności w ramach budżetu środków europejskich</t>
  </si>
  <si>
    <t>90019</t>
  </si>
  <si>
    <t>Wpływy i wydatki związane z gromadzeniem środków z opłat i kar za korzystanie ze środowiska</t>
  </si>
  <si>
    <t>2007</t>
  </si>
  <si>
    <t>Wykonanie</t>
  </si>
  <si>
    <t>%</t>
  </si>
  <si>
    <t xml:space="preserve"> </t>
  </si>
  <si>
    <t>0910</t>
  </si>
  <si>
    <t>85421</t>
  </si>
  <si>
    <t>Młodzieżowe ośrodki socjoterapii</t>
  </si>
  <si>
    <t>Odsetki od nieterminowych wpłat z tytułu podatków i opłat</t>
  </si>
  <si>
    <t>Załącznik Nr 1</t>
  </si>
  <si>
    <t>Dotacje celowe w ramach programów finansowanych z udziałem środków europejskich oraz środków,   o których mowa w art. 5 ust. 1 pkt  3 oraz ust. 3 pkt 5 i 6 ustawy, lub płatności w ramach budżetu środków europejskich</t>
  </si>
  <si>
    <t>Dotacje celowe w ramach programów finansowanych z udziałem środków europejskich oraz środków,   o których mowa w art. 5 ust. 1 pkt 3 oraz ust. 3 pkt 5 i 6 ustawy, lub płatności w ramach budżetu środków europejskich</t>
  </si>
  <si>
    <t>Zespoły do spraw orzekania o niepełnosprawności</t>
  </si>
  <si>
    <t>Dotacje celowe w ramach programów finansowanych z udziałem środków europejskich oraz środków, o których mowa w art. 5 ust. 1 pkt 3 oraz ust. 3 pkt 5 i 6 ustawy, lub płatności w ramach budżetu środków europejskich</t>
  </si>
  <si>
    <t>Dotacje celowe w ramach programów finansowanych z udziałem środków europejskich oraz środków,  o których mowa w art. 5 ust. 1 pkt 3 oraz ust. 3 pkt 5 i 6 ustawy, lub płatności w ramach budżetu środków europejskich</t>
  </si>
  <si>
    <t>WYKONANIE PLANU DOCHODÓW  BUDŻETU  POWIATU  WĄGROWIECKIEGO  W  2011  ROKU</t>
  </si>
  <si>
    <t>ZA OKRES OD 01.01.2011  DO   30.06.2011R</t>
  </si>
  <si>
    <t>Planowane dochody na 2011 rok</t>
  </si>
  <si>
    <t>6207</t>
  </si>
  <si>
    <t>71012</t>
  </si>
  <si>
    <t>Ośrodki dokumentacji geodezyjnej i kartograficznej</t>
  </si>
  <si>
    <t>75023</t>
  </si>
  <si>
    <t>0680</t>
  </si>
  <si>
    <t>Wpływy od rodziców z tytułu odpłatności za utrzymanie dzieci (wychowanków) w placówkach opiekuńczo - wychowawczych i w rodzinach zastępczych</t>
  </si>
  <si>
    <t>Urzędy  gmin (miast i miast na prawach powiatu)</t>
  </si>
  <si>
    <t>Pozostałe  odsetki</t>
  </si>
  <si>
    <t>Stołówki szkolne i przedszkolne</t>
  </si>
  <si>
    <t>85205</t>
  </si>
  <si>
    <t>Zadania w zakresie przeciwdziałania przemocy w rodzinie</t>
  </si>
  <si>
    <t>926</t>
  </si>
  <si>
    <t>92605</t>
  </si>
  <si>
    <t>2910</t>
  </si>
  <si>
    <t xml:space="preserve">KULTURA  FIZYCZNA </t>
  </si>
  <si>
    <t>Zadania w zakresie kultury fizycznej</t>
  </si>
  <si>
    <t>Wpływy ze zwrotów dotacji oraz płatności, w tym wykorzystanych niezgodnie z przeznaczeniem lub wykorzystanych z naruszeniem  procedur, o których mowa w art.184 ustawy, pobranych nienależnie lub w nadmiernej wysokości</t>
  </si>
  <si>
    <t>01095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</si>
</sst>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</numFmts>
  <fonts count="4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justify" vertical="center"/>
    </xf>
    <xf numFmtId="3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justify" vertical="center"/>
    </xf>
    <xf numFmtId="3" fontId="2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3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vertical="center"/>
    </xf>
    <xf numFmtId="3" fontId="8" fillId="33" borderId="11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49" fontId="8" fillId="0" borderId="1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/>
    </xf>
    <xf numFmtId="165" fontId="7" fillId="0" borderId="0" xfId="0" applyNumberFormat="1" applyFont="1" applyAlignment="1">
      <alignment/>
    </xf>
    <xf numFmtId="49" fontId="8" fillId="0" borderId="19" xfId="0" applyNumberFormat="1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7" fillId="6" borderId="10" xfId="0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justify" vertical="center"/>
    </xf>
    <xf numFmtId="3" fontId="7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vertical="center"/>
    </xf>
    <xf numFmtId="3" fontId="11" fillId="0" borderId="0" xfId="0" applyNumberFormat="1" applyFont="1" applyAlignment="1">
      <alignment horizontal="left" vertical="center"/>
    </xf>
    <xf numFmtId="3" fontId="12" fillId="0" borderId="0" xfId="0" applyNumberFormat="1" applyFont="1" applyAlignment="1">
      <alignment horizontal="left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justify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justify" vertical="center"/>
    </xf>
    <xf numFmtId="49" fontId="6" fillId="0" borderId="10" xfId="0" applyNumberFormat="1" applyFont="1" applyBorder="1" applyAlignment="1">
      <alignment horizontal="justify" vertical="center"/>
    </xf>
    <xf numFmtId="3" fontId="6" fillId="33" borderId="10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horizontal="right" vertical="center"/>
    </xf>
    <xf numFmtId="3" fontId="6" fillId="0" borderId="15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49" fontId="6" fillId="33" borderId="10" xfId="0" applyNumberFormat="1" applyFont="1" applyFill="1" applyBorder="1" applyAlignment="1">
      <alignment horizontal="justify" vertical="center"/>
    </xf>
    <xf numFmtId="49" fontId="6" fillId="0" borderId="12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4" fontId="6" fillId="33" borderId="21" xfId="0" applyNumberFormat="1" applyFont="1" applyFill="1" applyBorder="1" applyAlignment="1">
      <alignment vertical="center"/>
    </xf>
    <xf numFmtId="4" fontId="6" fillId="0" borderId="16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justify" vertical="center"/>
    </xf>
    <xf numFmtId="4" fontId="6" fillId="0" borderId="12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justify" vertical="center"/>
    </xf>
    <xf numFmtId="4" fontId="9" fillId="0" borderId="12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justify" vertical="center"/>
    </xf>
    <xf numFmtId="49" fontId="6" fillId="0" borderId="15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vertical="center"/>
    </xf>
    <xf numFmtId="49" fontId="6" fillId="0" borderId="16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justify" vertical="center"/>
    </xf>
    <xf numFmtId="49" fontId="6" fillId="0" borderId="17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vertical="center"/>
    </xf>
    <xf numFmtId="4" fontId="9" fillId="0" borderId="23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horizontal="justify" vertical="center"/>
    </xf>
    <xf numFmtId="3" fontId="9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4" fontId="6" fillId="0" borderId="12" xfId="0" applyNumberFormat="1" applyFont="1" applyFill="1" applyBorder="1" applyAlignment="1">
      <alignment horizontal="right" vertical="center"/>
    </xf>
    <xf numFmtId="49" fontId="9" fillId="0" borderId="15" xfId="0" applyNumberFormat="1" applyFont="1" applyBorder="1" applyAlignment="1">
      <alignment horizontal="justify" vertical="center"/>
    </xf>
    <xf numFmtId="4" fontId="9" fillId="0" borderId="20" xfId="0" applyNumberFormat="1" applyFont="1" applyBorder="1" applyAlignment="1">
      <alignment vertical="center"/>
    </xf>
    <xf numFmtId="4" fontId="9" fillId="0" borderId="12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49" fontId="6" fillId="0" borderId="24" xfId="0" applyNumberFormat="1" applyFont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justify" vertical="center"/>
    </xf>
    <xf numFmtId="4" fontId="6" fillId="0" borderId="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top"/>
    </xf>
    <xf numFmtId="3" fontId="6" fillId="0" borderId="10" xfId="0" applyNumberFormat="1" applyFont="1" applyFill="1" applyBorder="1" applyAlignment="1">
      <alignment vertical="top"/>
    </xf>
    <xf numFmtId="4" fontId="9" fillId="0" borderId="21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vertical="top"/>
    </xf>
    <xf numFmtId="4" fontId="6" fillId="0" borderId="0" xfId="0" applyNumberFormat="1" applyFont="1" applyFill="1" applyBorder="1" applyAlignment="1">
      <alignment vertical="top"/>
    </xf>
    <xf numFmtId="49" fontId="9" fillId="0" borderId="11" xfId="0" applyNumberFormat="1" applyFont="1" applyBorder="1" applyAlignment="1">
      <alignment horizontal="justify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49" fontId="9" fillId="0" borderId="18" xfId="0" applyNumberFormat="1" applyFont="1" applyBorder="1" applyAlignment="1">
      <alignment horizontal="justify" vertical="center"/>
    </xf>
    <xf numFmtId="4" fontId="9" fillId="0" borderId="19" xfId="0" applyNumberFormat="1" applyFont="1" applyBorder="1" applyAlignment="1">
      <alignment vertical="center"/>
    </xf>
    <xf numFmtId="49" fontId="6" fillId="0" borderId="23" xfId="0" applyNumberFormat="1" applyFont="1" applyBorder="1" applyAlignment="1">
      <alignment horizontal="justify" vertical="center"/>
    </xf>
    <xf numFmtId="49" fontId="9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justify" vertical="center"/>
    </xf>
    <xf numFmtId="49" fontId="6" fillId="0" borderId="19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justify"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justify" vertical="center"/>
    </xf>
    <xf numFmtId="3" fontId="6" fillId="34" borderId="10" xfId="0" applyNumberFormat="1" applyFont="1" applyFill="1" applyBorder="1" applyAlignment="1">
      <alignment vertical="center"/>
    </xf>
    <xf numFmtId="4" fontId="6" fillId="34" borderId="21" xfId="0" applyNumberFormat="1" applyFont="1" applyFill="1" applyBorder="1" applyAlignment="1">
      <alignment vertical="center"/>
    </xf>
    <xf numFmtId="4" fontId="6" fillId="34" borderId="10" xfId="0" applyNumberFormat="1" applyFont="1" applyFill="1" applyBorder="1" applyAlignment="1">
      <alignment horizontal="right" vertical="center"/>
    </xf>
    <xf numFmtId="49" fontId="6" fillId="0" borderId="15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tabSelected="1" view="pageBreakPreview" zoomScale="60" zoomScalePageLayoutView="0" workbookViewId="0" topLeftCell="A129">
      <selection activeCell="D175" sqref="D175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67.57421875" style="0" customWidth="1"/>
    <col min="5" max="5" width="14.140625" style="0" customWidth="1"/>
    <col min="6" max="6" width="14.00390625" style="0" customWidth="1"/>
    <col min="7" max="7" width="12.7109375" style="0" customWidth="1"/>
    <col min="8" max="8" width="17.8515625" style="0" customWidth="1"/>
    <col min="9" max="9" width="11.57421875" style="0" customWidth="1"/>
    <col min="10" max="10" width="13.7109375" style="0" customWidth="1"/>
    <col min="11" max="11" width="14.140625" style="0" customWidth="1"/>
    <col min="12" max="12" width="11.140625" style="0" customWidth="1"/>
  </cols>
  <sheetData>
    <row r="1" spans="1:12" ht="15">
      <c r="A1" s="152" t="s">
        <v>184</v>
      </c>
      <c r="B1" s="152"/>
      <c r="C1" s="152"/>
      <c r="D1" s="152"/>
      <c r="E1" s="152"/>
      <c r="F1" s="153" t="s">
        <v>184</v>
      </c>
      <c r="G1" s="153"/>
      <c r="H1" s="10"/>
      <c r="I1" s="10"/>
      <c r="J1" s="2"/>
      <c r="K1" s="2"/>
      <c r="L1" s="2"/>
    </row>
    <row r="2" spans="1:12" ht="23.25">
      <c r="A2" s="152"/>
      <c r="B2" s="152"/>
      <c r="C2" s="152"/>
      <c r="D2" s="152"/>
      <c r="E2" s="152"/>
      <c r="F2" s="154" t="s">
        <v>184</v>
      </c>
      <c r="G2" s="154"/>
      <c r="H2" s="47" t="s">
        <v>189</v>
      </c>
      <c r="I2" s="48"/>
      <c r="J2" s="2"/>
      <c r="K2" s="2"/>
      <c r="L2" s="2"/>
    </row>
    <row r="3" spans="1:12" ht="15">
      <c r="A3" s="152"/>
      <c r="B3" s="152"/>
      <c r="C3" s="152"/>
      <c r="D3" s="152"/>
      <c r="E3" s="152"/>
      <c r="F3" s="155" t="s">
        <v>184</v>
      </c>
      <c r="G3" s="155"/>
      <c r="H3" s="11"/>
      <c r="I3" s="11"/>
      <c r="J3" s="2"/>
      <c r="K3" s="2"/>
      <c r="L3" s="2"/>
    </row>
    <row r="4" spans="1:12" ht="15">
      <c r="A4" s="152"/>
      <c r="B4" s="152"/>
      <c r="C4" s="152"/>
      <c r="D4" s="152"/>
      <c r="E4" s="152"/>
      <c r="F4" s="155" t="s">
        <v>184</v>
      </c>
      <c r="G4" s="155"/>
      <c r="H4" s="11"/>
      <c r="I4" s="11"/>
      <c r="J4" s="2"/>
      <c r="K4" s="2"/>
      <c r="L4" s="2"/>
    </row>
    <row r="5" spans="1:12" ht="15">
      <c r="A5" s="152"/>
      <c r="B5" s="152"/>
      <c r="C5" s="152"/>
      <c r="D5" s="152"/>
      <c r="E5" s="152"/>
      <c r="F5" s="156"/>
      <c r="G5" s="156"/>
      <c r="H5" s="12"/>
      <c r="I5" s="12"/>
      <c r="J5" s="2"/>
      <c r="K5" s="2"/>
      <c r="L5" s="2"/>
    </row>
    <row r="6" spans="1:12" ht="20.25">
      <c r="A6" s="150" t="s">
        <v>195</v>
      </c>
      <c r="B6" s="150"/>
      <c r="C6" s="150"/>
      <c r="D6" s="150"/>
      <c r="E6" s="150"/>
      <c r="F6" s="150"/>
      <c r="G6" s="150"/>
      <c r="H6" s="150"/>
      <c r="I6" s="150"/>
      <c r="J6" s="2"/>
      <c r="K6" s="2"/>
      <c r="L6" s="2"/>
    </row>
    <row r="7" spans="1:12" ht="20.25">
      <c r="A7" s="150" t="s">
        <v>0</v>
      </c>
      <c r="B7" s="150"/>
      <c r="C7" s="150"/>
      <c r="D7" s="150"/>
      <c r="E7" s="150"/>
      <c r="F7" s="150"/>
      <c r="G7" s="150"/>
      <c r="H7" s="150"/>
      <c r="I7" s="150"/>
      <c r="J7" s="2"/>
      <c r="K7" s="2"/>
      <c r="L7" s="2"/>
    </row>
    <row r="8" spans="1:12" ht="20.25">
      <c r="A8" s="150" t="s">
        <v>196</v>
      </c>
      <c r="B8" s="150"/>
      <c r="C8" s="150"/>
      <c r="D8" s="150"/>
      <c r="E8" s="150"/>
      <c r="F8" s="150"/>
      <c r="G8" s="150"/>
      <c r="H8" s="150"/>
      <c r="I8" s="150"/>
      <c r="J8" s="2"/>
      <c r="K8" s="2"/>
      <c r="L8" s="2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2"/>
      <c r="K9" s="2"/>
      <c r="L9" s="2"/>
    </row>
    <row r="10" spans="1:12" ht="15">
      <c r="A10" s="151"/>
      <c r="B10" s="151"/>
      <c r="C10" s="151"/>
      <c r="D10" s="151"/>
      <c r="E10" s="151"/>
      <c r="F10" s="151"/>
      <c r="G10" s="151"/>
      <c r="H10" s="9"/>
      <c r="I10" s="9"/>
      <c r="J10" s="2"/>
      <c r="K10" s="2"/>
      <c r="L10" s="2"/>
    </row>
    <row r="11" spans="1:12" ht="18.75">
      <c r="A11" s="157" t="s">
        <v>1</v>
      </c>
      <c r="B11" s="157" t="s">
        <v>2</v>
      </c>
      <c r="C11" s="157" t="s">
        <v>3</v>
      </c>
      <c r="D11" s="157" t="s">
        <v>4</v>
      </c>
      <c r="E11" s="158" t="s">
        <v>197</v>
      </c>
      <c r="F11" s="159"/>
      <c r="G11" s="160"/>
      <c r="H11" s="42"/>
      <c r="I11" s="42"/>
      <c r="J11" s="13"/>
      <c r="K11" s="13"/>
      <c r="L11" s="13"/>
    </row>
    <row r="12" spans="1:12" ht="18.75">
      <c r="A12" s="157"/>
      <c r="B12" s="157"/>
      <c r="C12" s="157"/>
      <c r="D12" s="157"/>
      <c r="E12" s="161" t="s">
        <v>5</v>
      </c>
      <c r="F12" s="161" t="s">
        <v>6</v>
      </c>
      <c r="G12" s="161"/>
      <c r="H12" s="44" t="s">
        <v>182</v>
      </c>
      <c r="I12" s="44" t="s">
        <v>183</v>
      </c>
      <c r="J12" s="13"/>
      <c r="K12" s="13"/>
      <c r="L12" s="13"/>
    </row>
    <row r="13" spans="1:12" ht="18.75">
      <c r="A13" s="157"/>
      <c r="B13" s="157"/>
      <c r="C13" s="157"/>
      <c r="D13" s="157"/>
      <c r="E13" s="161"/>
      <c r="F13" s="43" t="s">
        <v>7</v>
      </c>
      <c r="G13" s="43" t="s">
        <v>8</v>
      </c>
      <c r="H13" s="44"/>
      <c r="I13" s="44"/>
      <c r="J13" s="13"/>
      <c r="K13" s="13"/>
      <c r="L13" s="13"/>
    </row>
    <row r="14" spans="1:12" ht="15.75">
      <c r="A14" s="15">
        <v>1</v>
      </c>
      <c r="B14" s="15">
        <v>2</v>
      </c>
      <c r="C14" s="15">
        <v>3</v>
      </c>
      <c r="D14" s="15">
        <v>4</v>
      </c>
      <c r="E14" s="14">
        <v>5</v>
      </c>
      <c r="F14" s="14">
        <v>6</v>
      </c>
      <c r="G14" s="14">
        <v>7</v>
      </c>
      <c r="H14" s="14">
        <v>8</v>
      </c>
      <c r="I14" s="14">
        <v>9</v>
      </c>
      <c r="J14" s="13"/>
      <c r="K14" s="13"/>
      <c r="L14" s="13"/>
    </row>
    <row r="15" spans="1:12" ht="22.5" customHeight="1">
      <c r="A15" s="45" t="s">
        <v>9</v>
      </c>
      <c r="B15" s="45"/>
      <c r="C15" s="45"/>
      <c r="D15" s="46" t="s">
        <v>10</v>
      </c>
      <c r="E15" s="61">
        <f aca="true" t="shared" si="0" ref="E15:E30">SUM(F15:G15)</f>
        <v>50710</v>
      </c>
      <c r="F15" s="61">
        <f>F18+F16+F20</f>
        <v>50710</v>
      </c>
      <c r="G15" s="61"/>
      <c r="H15" s="62">
        <f>H18+H16+H20</f>
        <v>48498.38</v>
      </c>
      <c r="I15" s="63">
        <f>ROUND((H15/E15)*100,2)</f>
        <v>95.64</v>
      </c>
      <c r="J15" s="17">
        <f>IF($G18&gt;0,$G18," ")</f>
      </c>
      <c r="K15" s="18"/>
      <c r="L15" s="18"/>
    </row>
    <row r="16" spans="1:12" ht="21" customHeight="1">
      <c r="A16" s="19"/>
      <c r="B16" s="49" t="s">
        <v>11</v>
      </c>
      <c r="C16" s="50"/>
      <c r="D16" s="51" t="s">
        <v>12</v>
      </c>
      <c r="E16" s="64">
        <f>F16</f>
        <v>4000</v>
      </c>
      <c r="F16" s="64">
        <f>F17</f>
        <v>4000</v>
      </c>
      <c r="G16" s="64"/>
      <c r="H16" s="65">
        <f>SUM(H17)</f>
        <v>2000</v>
      </c>
      <c r="I16" s="66">
        <f>ROUND((H16/E16)*100,2)</f>
        <v>50</v>
      </c>
      <c r="J16" s="20"/>
      <c r="K16" s="18"/>
      <c r="L16" s="18"/>
    </row>
    <row r="17" spans="1:12" ht="57" customHeight="1">
      <c r="A17" s="21"/>
      <c r="B17" s="52"/>
      <c r="C17" s="50" t="s">
        <v>13</v>
      </c>
      <c r="D17" s="53" t="s">
        <v>14</v>
      </c>
      <c r="E17" s="67">
        <f>F17</f>
        <v>4000</v>
      </c>
      <c r="F17" s="67">
        <v>4000</v>
      </c>
      <c r="G17" s="64"/>
      <c r="H17" s="68">
        <v>2000</v>
      </c>
      <c r="I17" s="69">
        <f>ROUND((H17/E17)*100,2)</f>
        <v>50</v>
      </c>
      <c r="J17" s="20"/>
      <c r="K17" s="18"/>
      <c r="L17" s="18"/>
    </row>
    <row r="18" spans="1:12" ht="19.5" customHeight="1">
      <c r="A18" s="22"/>
      <c r="B18" s="54" t="s">
        <v>15</v>
      </c>
      <c r="C18" s="55"/>
      <c r="D18" s="56" t="s">
        <v>16</v>
      </c>
      <c r="E18" s="70">
        <f t="shared" si="0"/>
        <v>250</v>
      </c>
      <c r="F18" s="70">
        <f>F19</f>
        <v>250</v>
      </c>
      <c r="G18" s="71">
        <f>IF(G19&gt;0,G19,"")</f>
      </c>
      <c r="H18" s="72">
        <f>H19</f>
        <v>38.38</v>
      </c>
      <c r="I18" s="66">
        <f>ROUND((H18/E18)*100,2)</f>
        <v>15.35</v>
      </c>
      <c r="J18" s="13"/>
      <c r="K18" s="13"/>
      <c r="L18" s="13"/>
    </row>
    <row r="19" spans="1:12" ht="60" customHeight="1">
      <c r="A19" s="22"/>
      <c r="B19" s="57"/>
      <c r="C19" s="58" t="s">
        <v>17</v>
      </c>
      <c r="D19" s="59" t="s">
        <v>18</v>
      </c>
      <c r="E19" s="73">
        <f t="shared" si="0"/>
        <v>250</v>
      </c>
      <c r="F19" s="73">
        <v>250</v>
      </c>
      <c r="G19" s="73"/>
      <c r="H19" s="74">
        <v>38.38</v>
      </c>
      <c r="I19" s="69">
        <f aca="true" t="shared" si="1" ref="I19:I188">ROUND((H19/E19)*100,2)</f>
        <v>15.35</v>
      </c>
      <c r="J19" s="13"/>
      <c r="K19" s="13"/>
      <c r="L19" s="13"/>
    </row>
    <row r="20" spans="1:12" ht="19.5" customHeight="1">
      <c r="A20" s="22"/>
      <c r="B20" s="57" t="s">
        <v>215</v>
      </c>
      <c r="C20" s="58"/>
      <c r="D20" s="60" t="s">
        <v>149</v>
      </c>
      <c r="E20" s="75">
        <f>F20</f>
        <v>46460</v>
      </c>
      <c r="F20" s="75">
        <f>F21</f>
        <v>46460</v>
      </c>
      <c r="G20" s="75"/>
      <c r="H20" s="72">
        <f>SUM(H21)</f>
        <v>46460</v>
      </c>
      <c r="I20" s="66">
        <f t="shared" si="1"/>
        <v>100</v>
      </c>
      <c r="J20" s="13"/>
      <c r="K20" s="13"/>
      <c r="L20" s="13"/>
    </row>
    <row r="21" spans="1:12" ht="60.75" customHeight="1">
      <c r="A21" s="24"/>
      <c r="B21" s="57"/>
      <c r="C21" s="58" t="s">
        <v>13</v>
      </c>
      <c r="D21" s="53" t="s">
        <v>14</v>
      </c>
      <c r="E21" s="73">
        <f>F21</f>
        <v>46460</v>
      </c>
      <c r="F21" s="73">
        <v>46460</v>
      </c>
      <c r="G21" s="73"/>
      <c r="H21" s="74">
        <v>46460</v>
      </c>
      <c r="I21" s="69">
        <f t="shared" si="1"/>
        <v>100</v>
      </c>
      <c r="J21" s="13"/>
      <c r="K21" s="13"/>
      <c r="L21" s="13"/>
    </row>
    <row r="22" spans="1:12" ht="21" customHeight="1">
      <c r="A22" s="45" t="s">
        <v>19</v>
      </c>
      <c r="B22" s="45"/>
      <c r="C22" s="45"/>
      <c r="D22" s="76" t="s">
        <v>20</v>
      </c>
      <c r="E22" s="61">
        <f t="shared" si="0"/>
        <v>260191</v>
      </c>
      <c r="F22" s="61">
        <f>F23</f>
        <v>260191</v>
      </c>
      <c r="G22" s="61"/>
      <c r="H22" s="62">
        <f>SUM(H23)</f>
        <v>133647.72</v>
      </c>
      <c r="I22" s="63">
        <f t="shared" si="1"/>
        <v>51.37</v>
      </c>
      <c r="J22" s="16">
        <f>IF($G23&gt;0,$G23," ")</f>
      </c>
      <c r="K22" s="13"/>
      <c r="L22" s="13"/>
    </row>
    <row r="23" spans="1:12" ht="21.75" customHeight="1">
      <c r="A23" s="77"/>
      <c r="B23" s="58" t="s">
        <v>21</v>
      </c>
      <c r="C23" s="58"/>
      <c r="D23" s="60" t="s">
        <v>22</v>
      </c>
      <c r="E23" s="75">
        <f t="shared" si="0"/>
        <v>260191</v>
      </c>
      <c r="F23" s="75">
        <f>F24</f>
        <v>260191</v>
      </c>
      <c r="G23" s="73">
        <f>IF(G24&gt;0,G24,"")</f>
      </c>
      <c r="H23" s="78">
        <f>SUM(H24)</f>
        <v>133647.72</v>
      </c>
      <c r="I23" s="66">
        <f t="shared" si="1"/>
        <v>51.37</v>
      </c>
      <c r="J23" s="13"/>
      <c r="K23" s="13"/>
      <c r="L23" s="13"/>
    </row>
    <row r="24" spans="1:12" ht="58.5" customHeight="1">
      <c r="A24" s="55"/>
      <c r="B24" s="58"/>
      <c r="C24" s="58" t="s">
        <v>23</v>
      </c>
      <c r="D24" s="59" t="s">
        <v>24</v>
      </c>
      <c r="E24" s="73">
        <f t="shared" si="0"/>
        <v>260191</v>
      </c>
      <c r="F24" s="73">
        <v>260191</v>
      </c>
      <c r="G24" s="73"/>
      <c r="H24" s="79">
        <v>133647.72</v>
      </c>
      <c r="I24" s="69">
        <f t="shared" si="1"/>
        <v>51.37</v>
      </c>
      <c r="J24" s="13"/>
      <c r="K24" s="13"/>
      <c r="L24" s="13"/>
    </row>
    <row r="25" spans="1:12" ht="22.5" customHeight="1">
      <c r="A25" s="45" t="s">
        <v>25</v>
      </c>
      <c r="B25" s="45"/>
      <c r="C25" s="45"/>
      <c r="D25" s="76" t="s">
        <v>26</v>
      </c>
      <c r="E25" s="61">
        <f t="shared" si="0"/>
        <v>475713</v>
      </c>
      <c r="F25" s="61">
        <f>F26</f>
        <v>116</v>
      </c>
      <c r="G25" s="61">
        <f>IF($G26&gt;0,$G26," ")</f>
        <v>475597</v>
      </c>
      <c r="H25" s="80">
        <f>SUM(H26)</f>
        <v>455160.78</v>
      </c>
      <c r="I25" s="63">
        <f t="shared" si="1"/>
        <v>95.68</v>
      </c>
      <c r="J25" s="17">
        <f>IF($G26&gt;0,$G26," ")</f>
        <v>475597</v>
      </c>
      <c r="K25" s="18"/>
      <c r="L25" s="18"/>
    </row>
    <row r="26" spans="1:12" ht="20.25" customHeight="1">
      <c r="A26" s="77"/>
      <c r="B26" s="58" t="s">
        <v>27</v>
      </c>
      <c r="C26" s="57"/>
      <c r="D26" s="60" t="s">
        <v>28</v>
      </c>
      <c r="E26" s="75">
        <f t="shared" si="0"/>
        <v>475713</v>
      </c>
      <c r="F26" s="75">
        <f>SUM(F27:F29)</f>
        <v>116</v>
      </c>
      <c r="G26" s="75">
        <f>IF((G27+G28+G29)&gt;0,(G27+G28+G29)," ")</f>
        <v>475597</v>
      </c>
      <c r="H26" s="81">
        <f>SUM(H27:H29)</f>
        <v>455160.78</v>
      </c>
      <c r="I26" s="66">
        <f t="shared" si="1"/>
        <v>95.68</v>
      </c>
      <c r="J26" s="13"/>
      <c r="K26" s="13"/>
      <c r="L26" s="13"/>
    </row>
    <row r="27" spans="1:12" ht="21" customHeight="1">
      <c r="A27" s="82"/>
      <c r="B27" s="82"/>
      <c r="C27" s="57" t="s">
        <v>29</v>
      </c>
      <c r="D27" s="59" t="s">
        <v>30</v>
      </c>
      <c r="E27" s="73">
        <f t="shared" si="0"/>
        <v>9000</v>
      </c>
      <c r="F27" s="73"/>
      <c r="G27" s="73">
        <v>9000</v>
      </c>
      <c r="H27" s="83">
        <v>14373.19</v>
      </c>
      <c r="I27" s="69">
        <f t="shared" si="1"/>
        <v>159.7</v>
      </c>
      <c r="J27" s="13"/>
      <c r="K27" s="13"/>
      <c r="L27" s="13"/>
    </row>
    <row r="28" spans="1:12" ht="20.25" customHeight="1">
      <c r="A28" s="82"/>
      <c r="B28" s="82"/>
      <c r="C28" s="57" t="s">
        <v>31</v>
      </c>
      <c r="D28" s="59" t="s">
        <v>32</v>
      </c>
      <c r="E28" s="73">
        <f t="shared" si="0"/>
        <v>116</v>
      </c>
      <c r="F28" s="73">
        <v>116</v>
      </c>
      <c r="G28" s="73"/>
      <c r="H28" s="79">
        <v>62</v>
      </c>
      <c r="I28" s="69">
        <f t="shared" si="1"/>
        <v>53.45</v>
      </c>
      <c r="J28" s="13"/>
      <c r="K28" s="13"/>
      <c r="L28" s="13"/>
    </row>
    <row r="29" spans="1:12" ht="73.5" customHeight="1">
      <c r="A29" s="55"/>
      <c r="B29" s="55"/>
      <c r="C29" s="57" t="s">
        <v>198</v>
      </c>
      <c r="D29" s="59" t="s">
        <v>190</v>
      </c>
      <c r="E29" s="73">
        <f t="shared" si="0"/>
        <v>466597</v>
      </c>
      <c r="F29" s="73"/>
      <c r="G29" s="73">
        <v>466597</v>
      </c>
      <c r="H29" s="83">
        <v>440725.59</v>
      </c>
      <c r="I29" s="69">
        <f t="shared" si="1"/>
        <v>94.46</v>
      </c>
      <c r="J29" s="13"/>
      <c r="K29" s="13"/>
      <c r="L29" s="13"/>
    </row>
    <row r="30" spans="1:12" ht="19.5" customHeight="1">
      <c r="A30" s="45" t="s">
        <v>33</v>
      </c>
      <c r="B30" s="45"/>
      <c r="C30" s="45"/>
      <c r="D30" s="76" t="s">
        <v>34</v>
      </c>
      <c r="E30" s="61">
        <f t="shared" si="0"/>
        <v>1980364</v>
      </c>
      <c r="F30" s="61">
        <f>F31</f>
        <v>600364</v>
      </c>
      <c r="G30" s="61">
        <f>IF($G31&gt;0,$G31," ")</f>
        <v>1380000</v>
      </c>
      <c r="H30" s="80">
        <f>SUM(H31)</f>
        <v>398317.36000000004</v>
      </c>
      <c r="I30" s="63">
        <f t="shared" si="1"/>
        <v>20.11</v>
      </c>
      <c r="J30" s="17">
        <f>IF($G31&gt;0,$G31," ")</f>
        <v>1380000</v>
      </c>
      <c r="K30" s="18"/>
      <c r="L30" s="18"/>
    </row>
    <row r="31" spans="1:12" ht="18.75" customHeight="1">
      <c r="A31" s="77"/>
      <c r="B31" s="57" t="s">
        <v>35</v>
      </c>
      <c r="C31" s="58"/>
      <c r="D31" s="60" t="s">
        <v>36</v>
      </c>
      <c r="E31" s="75">
        <f aca="true" t="shared" si="2" ref="E31:E37">SUM(F31:G31)</f>
        <v>1980364</v>
      </c>
      <c r="F31" s="75">
        <f>SUM(F32:F37)</f>
        <v>600364</v>
      </c>
      <c r="G31" s="75">
        <f>IF((G32+G33+G34+G35+G36+G37)&gt;0,(G32+G33+G34+G35+G36+G37)," ")</f>
        <v>1380000</v>
      </c>
      <c r="H31" s="81">
        <f>SUM(H32:H37)</f>
        <v>398317.36000000004</v>
      </c>
      <c r="I31" s="66">
        <f t="shared" si="1"/>
        <v>20.11</v>
      </c>
      <c r="J31" s="13"/>
      <c r="K31" s="13"/>
      <c r="L31" s="13"/>
    </row>
    <row r="32" spans="1:12" ht="57" customHeight="1">
      <c r="A32" s="82"/>
      <c r="B32" s="77"/>
      <c r="C32" s="57" t="s">
        <v>13</v>
      </c>
      <c r="D32" s="59" t="s">
        <v>14</v>
      </c>
      <c r="E32" s="73">
        <f t="shared" si="2"/>
        <v>70000</v>
      </c>
      <c r="F32" s="73">
        <v>70000</v>
      </c>
      <c r="G32" s="73"/>
      <c r="H32" s="83">
        <v>55000</v>
      </c>
      <c r="I32" s="69">
        <f t="shared" si="1"/>
        <v>78.57</v>
      </c>
      <c r="J32" s="13"/>
      <c r="K32" s="13"/>
      <c r="L32" s="13"/>
    </row>
    <row r="33" spans="1:12" ht="78" customHeight="1">
      <c r="A33" s="82"/>
      <c r="B33" s="82"/>
      <c r="C33" s="57" t="s">
        <v>37</v>
      </c>
      <c r="D33" s="59" t="s">
        <v>38</v>
      </c>
      <c r="E33" s="73">
        <f t="shared" si="2"/>
        <v>366364</v>
      </c>
      <c r="F33" s="73">
        <v>366364</v>
      </c>
      <c r="G33" s="73"/>
      <c r="H33" s="84">
        <v>202047.6</v>
      </c>
      <c r="I33" s="69">
        <f t="shared" si="1"/>
        <v>55.15</v>
      </c>
      <c r="J33" s="13"/>
      <c r="K33" s="13"/>
      <c r="L33" s="13"/>
    </row>
    <row r="34" spans="1:12" ht="39" customHeight="1">
      <c r="A34" s="82"/>
      <c r="B34" s="82"/>
      <c r="C34" s="57" t="s">
        <v>39</v>
      </c>
      <c r="D34" s="59" t="s">
        <v>40</v>
      </c>
      <c r="E34" s="73">
        <f t="shared" si="2"/>
        <v>5000</v>
      </c>
      <c r="F34" s="73">
        <v>5000</v>
      </c>
      <c r="G34" s="73"/>
      <c r="H34" s="83">
        <v>4968.26</v>
      </c>
      <c r="I34" s="69">
        <f t="shared" si="1"/>
        <v>99.37</v>
      </c>
      <c r="J34" s="13"/>
      <c r="K34" s="13"/>
      <c r="L34" s="13"/>
    </row>
    <row r="35" spans="1:12" ht="37.5" customHeight="1">
      <c r="A35" s="82"/>
      <c r="B35" s="82"/>
      <c r="C35" s="57" t="s">
        <v>41</v>
      </c>
      <c r="D35" s="59" t="s">
        <v>42</v>
      </c>
      <c r="E35" s="73">
        <f t="shared" si="2"/>
        <v>1380000</v>
      </c>
      <c r="F35" s="73"/>
      <c r="G35" s="73">
        <v>1380000</v>
      </c>
      <c r="H35" s="84">
        <v>0</v>
      </c>
      <c r="I35" s="69">
        <f>ROUND((H35/E35)*100,2)</f>
        <v>0</v>
      </c>
      <c r="J35" s="13"/>
      <c r="K35" s="13"/>
      <c r="L35" s="13"/>
    </row>
    <row r="36" spans="1:12" ht="19.5" customHeight="1">
      <c r="A36" s="82"/>
      <c r="B36" s="82"/>
      <c r="C36" s="57" t="s">
        <v>43</v>
      </c>
      <c r="D36" s="59" t="s">
        <v>44</v>
      </c>
      <c r="E36" s="73">
        <f t="shared" si="2"/>
        <v>0</v>
      </c>
      <c r="F36" s="73">
        <v>0</v>
      </c>
      <c r="G36" s="73"/>
      <c r="H36" s="83">
        <v>931.11</v>
      </c>
      <c r="I36" s="69">
        <v>0</v>
      </c>
      <c r="J36" s="13"/>
      <c r="K36" s="13"/>
      <c r="L36" s="13"/>
    </row>
    <row r="37" spans="1:12" ht="57" customHeight="1">
      <c r="A37" s="55"/>
      <c r="B37" s="55"/>
      <c r="C37" s="57" t="s">
        <v>17</v>
      </c>
      <c r="D37" s="59" t="s">
        <v>18</v>
      </c>
      <c r="E37" s="73">
        <f t="shared" si="2"/>
        <v>159000</v>
      </c>
      <c r="F37" s="73">
        <v>159000</v>
      </c>
      <c r="G37" s="73"/>
      <c r="H37" s="84">
        <v>135370.39</v>
      </c>
      <c r="I37" s="69">
        <f t="shared" si="1"/>
        <v>85.14</v>
      </c>
      <c r="J37" s="13"/>
      <c r="K37" s="13"/>
      <c r="L37" s="13"/>
    </row>
    <row r="38" spans="1:12" ht="20.25" customHeight="1">
      <c r="A38" s="85" t="s">
        <v>45</v>
      </c>
      <c r="B38" s="45"/>
      <c r="C38" s="45"/>
      <c r="D38" s="76" t="s">
        <v>46</v>
      </c>
      <c r="E38" s="61">
        <f>SUM(F38:G38)</f>
        <v>907345</v>
      </c>
      <c r="F38" s="61">
        <f>F44+F48+F50+F39</f>
        <v>907345</v>
      </c>
      <c r="G38" s="61"/>
      <c r="H38" s="62">
        <f>H44+H48+H50+H39</f>
        <v>621026.97</v>
      </c>
      <c r="I38" s="63">
        <f t="shared" si="1"/>
        <v>68.44</v>
      </c>
      <c r="J38" s="16" t="e">
        <f>IF(($G44+$G48+$G50)&gt;0,($G44+$G48+$G50)," ")</f>
        <v>#VALUE!</v>
      </c>
      <c r="K38" s="13"/>
      <c r="L38" s="13"/>
    </row>
    <row r="39" spans="1:12" ht="19.5" customHeight="1">
      <c r="A39" s="86"/>
      <c r="B39" s="87" t="s">
        <v>199</v>
      </c>
      <c r="C39" s="50"/>
      <c r="D39" s="88" t="s">
        <v>200</v>
      </c>
      <c r="E39" s="64">
        <f>F39</f>
        <v>402000</v>
      </c>
      <c r="F39" s="64">
        <f>SUM(F41:F42)</f>
        <v>402000</v>
      </c>
      <c r="G39" s="64"/>
      <c r="H39" s="89">
        <f>SUM(H40:H43)</f>
        <v>277825.95999999996</v>
      </c>
      <c r="I39" s="66">
        <f t="shared" si="1"/>
        <v>69.11</v>
      </c>
      <c r="J39" s="20"/>
      <c r="K39" s="13"/>
      <c r="L39" s="13"/>
    </row>
    <row r="40" spans="1:12" ht="39.75" customHeight="1">
      <c r="A40" s="90"/>
      <c r="B40" s="86"/>
      <c r="C40" s="52" t="s">
        <v>81</v>
      </c>
      <c r="D40" s="91" t="s">
        <v>82</v>
      </c>
      <c r="E40" s="67">
        <v>0</v>
      </c>
      <c r="F40" s="67">
        <v>0</v>
      </c>
      <c r="G40" s="67"/>
      <c r="H40" s="92">
        <v>17111.2</v>
      </c>
      <c r="I40" s="69">
        <v>0</v>
      </c>
      <c r="J40" s="20"/>
      <c r="K40" s="13"/>
      <c r="L40" s="13"/>
    </row>
    <row r="41" spans="1:12" ht="19.5" customHeight="1">
      <c r="A41" s="90"/>
      <c r="B41" s="93"/>
      <c r="C41" s="52" t="s">
        <v>61</v>
      </c>
      <c r="D41" s="94" t="s">
        <v>62</v>
      </c>
      <c r="E41" s="67">
        <f>F41</f>
        <v>400000</v>
      </c>
      <c r="F41" s="67">
        <v>400000</v>
      </c>
      <c r="G41" s="67"/>
      <c r="H41" s="92">
        <v>256792.02</v>
      </c>
      <c r="I41" s="69">
        <f t="shared" si="1"/>
        <v>64.2</v>
      </c>
      <c r="J41" s="20"/>
      <c r="K41" s="13"/>
      <c r="L41" s="13"/>
    </row>
    <row r="42" spans="1:12" ht="19.5" customHeight="1">
      <c r="A42" s="90"/>
      <c r="B42" s="93"/>
      <c r="C42" s="139" t="s">
        <v>43</v>
      </c>
      <c r="D42" s="94" t="s">
        <v>205</v>
      </c>
      <c r="E42" s="67">
        <f>F42</f>
        <v>2000</v>
      </c>
      <c r="F42" s="67">
        <v>2000</v>
      </c>
      <c r="G42" s="67"/>
      <c r="H42" s="92">
        <v>1922.74</v>
      </c>
      <c r="I42" s="69">
        <f t="shared" si="1"/>
        <v>96.14</v>
      </c>
      <c r="J42" s="20"/>
      <c r="K42" s="13"/>
      <c r="L42" s="13"/>
    </row>
    <row r="43" spans="1:12" ht="19.5" customHeight="1">
      <c r="A43" s="90"/>
      <c r="B43" s="95"/>
      <c r="C43" s="139" t="s">
        <v>31</v>
      </c>
      <c r="D43" s="94" t="s">
        <v>32</v>
      </c>
      <c r="E43" s="67">
        <v>0</v>
      </c>
      <c r="F43" s="67">
        <v>0</v>
      </c>
      <c r="G43" s="67"/>
      <c r="H43" s="92">
        <v>2000</v>
      </c>
      <c r="I43" s="69">
        <v>0</v>
      </c>
      <c r="J43" s="20"/>
      <c r="K43" s="13"/>
      <c r="L43" s="13"/>
    </row>
    <row r="44" spans="1:12" ht="21.75" customHeight="1">
      <c r="A44" s="82"/>
      <c r="B44" s="54" t="s">
        <v>47</v>
      </c>
      <c r="C44" s="55"/>
      <c r="D44" s="136" t="s">
        <v>48</v>
      </c>
      <c r="E44" s="75">
        <f>SUM(F44:G44)</f>
        <v>160300</v>
      </c>
      <c r="F44" s="75">
        <f>F45</f>
        <v>160300</v>
      </c>
      <c r="G44" s="73">
        <f>IF(G45&gt;0,G45,"")</f>
      </c>
      <c r="H44" s="96">
        <f>SUM(H45:H46)</f>
        <v>161374.01</v>
      </c>
      <c r="I44" s="66">
        <f t="shared" si="1"/>
        <v>100.67</v>
      </c>
      <c r="J44" s="13"/>
      <c r="K44" s="13"/>
      <c r="L44" s="13"/>
    </row>
    <row r="45" spans="1:12" ht="56.25" customHeight="1">
      <c r="A45" s="97"/>
      <c r="B45" s="77"/>
      <c r="C45" s="57" t="s">
        <v>13</v>
      </c>
      <c r="D45" s="98" t="s">
        <v>14</v>
      </c>
      <c r="E45" s="73">
        <f>SUM(F45:G45)</f>
        <v>160300</v>
      </c>
      <c r="F45" s="73">
        <v>160300</v>
      </c>
      <c r="G45" s="73"/>
      <c r="H45" s="74">
        <v>160300</v>
      </c>
      <c r="I45" s="69">
        <f t="shared" si="1"/>
        <v>100</v>
      </c>
      <c r="J45" s="13"/>
      <c r="K45" s="13"/>
      <c r="L45" s="13"/>
    </row>
    <row r="46" spans="1:12" ht="58.5" customHeight="1">
      <c r="A46" s="137"/>
      <c r="B46" s="55"/>
      <c r="C46" s="57" t="s">
        <v>17</v>
      </c>
      <c r="D46" s="59" t="s">
        <v>18</v>
      </c>
      <c r="E46" s="73">
        <v>0</v>
      </c>
      <c r="F46" s="73">
        <v>0</v>
      </c>
      <c r="G46" s="73"/>
      <c r="H46" s="74">
        <v>1074.01</v>
      </c>
      <c r="I46" s="69">
        <v>0</v>
      </c>
      <c r="J46" s="13"/>
      <c r="K46" s="13"/>
      <c r="L46" s="13"/>
    </row>
    <row r="47" spans="1:12" ht="15.75" customHeight="1">
      <c r="A47" s="131" t="s">
        <v>173</v>
      </c>
      <c r="B47" s="131" t="s">
        <v>174</v>
      </c>
      <c r="C47" s="131" t="s">
        <v>175</v>
      </c>
      <c r="D47" s="131" t="s">
        <v>176</v>
      </c>
      <c r="E47" s="41">
        <v>5</v>
      </c>
      <c r="F47" s="41">
        <v>6</v>
      </c>
      <c r="G47" s="41">
        <v>7</v>
      </c>
      <c r="H47" s="41">
        <v>8</v>
      </c>
      <c r="I47" s="132">
        <v>9</v>
      </c>
      <c r="J47" s="13"/>
      <c r="K47" s="13"/>
      <c r="L47" s="13"/>
    </row>
    <row r="48" spans="1:12" ht="21" customHeight="1">
      <c r="A48" s="82"/>
      <c r="B48" s="99" t="s">
        <v>49</v>
      </c>
      <c r="C48" s="55"/>
      <c r="D48" s="129" t="s">
        <v>50</v>
      </c>
      <c r="E48" s="70">
        <f aca="true" t="shared" si="3" ref="E48:E53">SUM(F48:G48)</f>
        <v>3000</v>
      </c>
      <c r="F48" s="70">
        <f>F49</f>
        <v>3000</v>
      </c>
      <c r="G48" s="71">
        <f>IF(G49&gt;0,G49,"")</f>
      </c>
      <c r="H48" s="100">
        <f>SUM(H49)</f>
        <v>2000</v>
      </c>
      <c r="I48" s="112">
        <f t="shared" si="1"/>
        <v>66.67</v>
      </c>
      <c r="J48" s="13"/>
      <c r="K48" s="13"/>
      <c r="L48" s="13"/>
    </row>
    <row r="49" spans="1:12" ht="55.5" customHeight="1">
      <c r="A49" s="22"/>
      <c r="B49" s="57"/>
      <c r="C49" s="58" t="s">
        <v>13</v>
      </c>
      <c r="D49" s="98" t="s">
        <v>14</v>
      </c>
      <c r="E49" s="73">
        <f t="shared" si="3"/>
        <v>3000</v>
      </c>
      <c r="F49" s="73">
        <v>3000</v>
      </c>
      <c r="G49" s="73"/>
      <c r="H49" s="74">
        <v>2000</v>
      </c>
      <c r="I49" s="69">
        <f t="shared" si="1"/>
        <v>66.67</v>
      </c>
      <c r="J49" s="13"/>
      <c r="K49" s="13"/>
      <c r="L49" s="13"/>
    </row>
    <row r="50" spans="1:12" ht="18.75" customHeight="1">
      <c r="A50" s="22"/>
      <c r="B50" s="101" t="s">
        <v>51</v>
      </c>
      <c r="C50" s="57"/>
      <c r="D50" s="60" t="s">
        <v>52</v>
      </c>
      <c r="E50" s="75">
        <f t="shared" si="3"/>
        <v>342045</v>
      </c>
      <c r="F50" s="75">
        <f>SUM(F51:F52)</f>
        <v>342045</v>
      </c>
      <c r="G50" s="73">
        <f>IF((G51+G52)&gt;0,(G51+G52),"")</f>
      </c>
      <c r="H50" s="100">
        <f>SUM(H51:H52)</f>
        <v>179827</v>
      </c>
      <c r="I50" s="66">
        <f t="shared" si="1"/>
        <v>52.57</v>
      </c>
      <c r="J50" s="13"/>
      <c r="K50" s="13"/>
      <c r="L50" s="13"/>
    </row>
    <row r="51" spans="1:12" ht="58.5" customHeight="1">
      <c r="A51" s="22"/>
      <c r="B51" s="101"/>
      <c r="C51" s="57" t="s">
        <v>13</v>
      </c>
      <c r="D51" s="59" t="s">
        <v>14</v>
      </c>
      <c r="E51" s="73">
        <f t="shared" si="3"/>
        <v>342000</v>
      </c>
      <c r="F51" s="73">
        <v>342000</v>
      </c>
      <c r="G51" s="73"/>
      <c r="H51" s="74">
        <v>179800</v>
      </c>
      <c r="I51" s="69">
        <f t="shared" si="1"/>
        <v>52.57</v>
      </c>
      <c r="J51" s="13"/>
      <c r="K51" s="13"/>
      <c r="L51" s="13"/>
    </row>
    <row r="52" spans="1:12" ht="19.5" customHeight="1">
      <c r="A52" s="24"/>
      <c r="B52" s="99"/>
      <c r="C52" s="57" t="s">
        <v>31</v>
      </c>
      <c r="D52" s="59" t="s">
        <v>32</v>
      </c>
      <c r="E52" s="73">
        <f t="shared" si="3"/>
        <v>45</v>
      </c>
      <c r="F52" s="73">
        <v>45</v>
      </c>
      <c r="G52" s="73"/>
      <c r="H52" s="74">
        <v>27</v>
      </c>
      <c r="I52" s="69">
        <f t="shared" si="1"/>
        <v>60</v>
      </c>
      <c r="J52" s="13"/>
      <c r="K52" s="13"/>
      <c r="L52" s="13"/>
    </row>
    <row r="53" spans="1:12" ht="22.5" customHeight="1">
      <c r="A53" s="85" t="s">
        <v>53</v>
      </c>
      <c r="B53" s="45"/>
      <c r="C53" s="45"/>
      <c r="D53" s="76" t="s">
        <v>54</v>
      </c>
      <c r="E53" s="61">
        <f t="shared" si="3"/>
        <v>352479</v>
      </c>
      <c r="F53" s="61">
        <f>F54+F56+F59+F65+F62</f>
        <v>352479</v>
      </c>
      <c r="G53" s="61"/>
      <c r="H53" s="62">
        <f>H54+H56+H59+H65+H62</f>
        <v>176588.32</v>
      </c>
      <c r="I53" s="63">
        <f t="shared" si="1"/>
        <v>50.1</v>
      </c>
      <c r="J53" s="16" t="e">
        <f>IF(($G54+$G56+$G59+$G65)&gt;0,($G54+$G56+$G59+$G65)," ")</f>
        <v>#VALUE!</v>
      </c>
      <c r="K53" s="13"/>
      <c r="L53" s="13"/>
    </row>
    <row r="54" spans="1:12" ht="19.5" customHeight="1">
      <c r="A54" s="77"/>
      <c r="B54" s="102" t="s">
        <v>55</v>
      </c>
      <c r="C54" s="58"/>
      <c r="D54" s="60" t="s">
        <v>56</v>
      </c>
      <c r="E54" s="75">
        <f>+SUM(F54:G54)</f>
        <v>158500</v>
      </c>
      <c r="F54" s="75">
        <f>F55</f>
        <v>158500</v>
      </c>
      <c r="G54" s="73">
        <f>IF(G55&gt;0,G55,"")</f>
      </c>
      <c r="H54" s="81">
        <f>SUM(H55)</f>
        <v>75546</v>
      </c>
      <c r="I54" s="66">
        <f t="shared" si="1"/>
        <v>47.66</v>
      </c>
      <c r="J54" s="13"/>
      <c r="K54" s="13"/>
      <c r="L54" s="13"/>
    </row>
    <row r="55" spans="1:12" ht="57" customHeight="1">
      <c r="A55" s="82"/>
      <c r="B55" s="57"/>
      <c r="C55" s="57" t="s">
        <v>13</v>
      </c>
      <c r="D55" s="59" t="s">
        <v>14</v>
      </c>
      <c r="E55" s="73">
        <f aca="true" t="shared" si="4" ref="E55:E67">SUM(F55:G55)</f>
        <v>158500</v>
      </c>
      <c r="F55" s="73">
        <v>158500</v>
      </c>
      <c r="G55" s="73"/>
      <c r="H55" s="83">
        <v>75546</v>
      </c>
      <c r="I55" s="69">
        <f t="shared" si="1"/>
        <v>47.66</v>
      </c>
      <c r="J55" s="13"/>
      <c r="K55" s="13"/>
      <c r="L55" s="13"/>
    </row>
    <row r="56" spans="1:12" ht="20.25" customHeight="1">
      <c r="A56" s="82"/>
      <c r="B56" s="102" t="s">
        <v>57</v>
      </c>
      <c r="C56" s="58"/>
      <c r="D56" s="60" t="s">
        <v>58</v>
      </c>
      <c r="E56" s="75">
        <f>SUM(F56:G56)</f>
        <v>144000</v>
      </c>
      <c r="F56" s="75">
        <f>SUM(F57:F58)</f>
        <v>144000</v>
      </c>
      <c r="G56" s="75" t="str">
        <f>IF((G57+G57)&gt;0,(G57+G58)," ")</f>
        <v> </v>
      </c>
      <c r="H56" s="103">
        <f>SUM(H57:H58)</f>
        <v>50683.22</v>
      </c>
      <c r="I56" s="66">
        <f t="shared" si="1"/>
        <v>35.2</v>
      </c>
      <c r="J56" s="13"/>
      <c r="K56" s="13"/>
      <c r="L56" s="13"/>
    </row>
    <row r="57" spans="1:12" ht="75" customHeight="1">
      <c r="A57" s="82"/>
      <c r="B57" s="101"/>
      <c r="C57" s="57" t="s">
        <v>150</v>
      </c>
      <c r="D57" s="59" t="s">
        <v>191</v>
      </c>
      <c r="E57" s="73">
        <f t="shared" si="4"/>
        <v>131040</v>
      </c>
      <c r="F57" s="73">
        <v>131040</v>
      </c>
      <c r="G57" s="73"/>
      <c r="H57" s="83">
        <v>46121.69</v>
      </c>
      <c r="I57" s="69">
        <f t="shared" si="1"/>
        <v>35.2</v>
      </c>
      <c r="J57" s="13"/>
      <c r="K57" s="13"/>
      <c r="L57" s="13"/>
    </row>
    <row r="58" spans="1:12" ht="75.75" customHeight="1">
      <c r="A58" s="82"/>
      <c r="B58" s="99"/>
      <c r="C58" s="57" t="s">
        <v>151</v>
      </c>
      <c r="D58" s="59" t="s">
        <v>191</v>
      </c>
      <c r="E58" s="73">
        <f t="shared" si="4"/>
        <v>12960</v>
      </c>
      <c r="F58" s="73">
        <v>12960</v>
      </c>
      <c r="G58" s="73"/>
      <c r="H58" s="104">
        <v>4561.53</v>
      </c>
      <c r="I58" s="69">
        <f t="shared" si="1"/>
        <v>35.2</v>
      </c>
      <c r="J58" s="13"/>
      <c r="K58" s="13"/>
      <c r="L58" s="13"/>
    </row>
    <row r="59" spans="1:12" ht="21.75" customHeight="1">
      <c r="A59" s="82"/>
      <c r="B59" s="57" t="s">
        <v>59</v>
      </c>
      <c r="C59" s="58"/>
      <c r="D59" s="60" t="s">
        <v>60</v>
      </c>
      <c r="E59" s="75">
        <f>SUM(F59:G59)</f>
        <v>20041</v>
      </c>
      <c r="F59" s="75">
        <f>SUM(F60:F61)</f>
        <v>20041</v>
      </c>
      <c r="G59" s="75" t="str">
        <f>IF((G60+G61)&gt;0,(G60+G61)," ")</f>
        <v> </v>
      </c>
      <c r="H59" s="78">
        <f>SUM(H60:H61)</f>
        <v>22359.1</v>
      </c>
      <c r="I59" s="66">
        <f t="shared" si="1"/>
        <v>111.57</v>
      </c>
      <c r="J59" s="13"/>
      <c r="K59" s="13"/>
      <c r="L59" s="13"/>
    </row>
    <row r="60" spans="1:12" ht="22.5" customHeight="1">
      <c r="A60" s="82"/>
      <c r="B60" s="54"/>
      <c r="C60" s="57" t="s">
        <v>61</v>
      </c>
      <c r="D60" s="59" t="s">
        <v>62</v>
      </c>
      <c r="E60" s="73">
        <f t="shared" si="4"/>
        <v>1000</v>
      </c>
      <c r="F60" s="73">
        <v>1000</v>
      </c>
      <c r="G60" s="73"/>
      <c r="H60" s="83">
        <v>1581.55</v>
      </c>
      <c r="I60" s="69">
        <f t="shared" si="1"/>
        <v>158.16</v>
      </c>
      <c r="J60" s="13"/>
      <c r="K60" s="13"/>
      <c r="L60" s="13"/>
    </row>
    <row r="61" spans="1:12" ht="21.75" customHeight="1">
      <c r="A61" s="82"/>
      <c r="B61" s="54"/>
      <c r="C61" s="57" t="s">
        <v>31</v>
      </c>
      <c r="D61" s="59" t="s">
        <v>32</v>
      </c>
      <c r="E61" s="73">
        <f t="shared" si="4"/>
        <v>19041</v>
      </c>
      <c r="F61" s="73">
        <v>19041</v>
      </c>
      <c r="G61" s="73"/>
      <c r="H61" s="83">
        <v>20777.55</v>
      </c>
      <c r="I61" s="69">
        <f t="shared" si="1"/>
        <v>109.12</v>
      </c>
      <c r="J61" s="13"/>
      <c r="K61" s="13"/>
      <c r="L61" s="13"/>
    </row>
    <row r="62" spans="1:12" ht="19.5" customHeight="1">
      <c r="A62" s="82"/>
      <c r="B62" s="57" t="s">
        <v>201</v>
      </c>
      <c r="C62" s="57"/>
      <c r="D62" s="60" t="s">
        <v>204</v>
      </c>
      <c r="E62" s="75">
        <f>SUM(E63:E64)</f>
        <v>1938</v>
      </c>
      <c r="F62" s="75">
        <f>SUM(F63:F64)</f>
        <v>1938</v>
      </c>
      <c r="G62" s="73" t="s">
        <v>184</v>
      </c>
      <c r="H62" s="78">
        <f>SUM(H63:H64)</f>
        <v>0</v>
      </c>
      <c r="I62" s="66">
        <f t="shared" si="1"/>
        <v>0</v>
      </c>
      <c r="J62" s="13"/>
      <c r="K62" s="13"/>
      <c r="L62" s="13"/>
    </row>
    <row r="63" spans="1:12" ht="78" customHeight="1">
      <c r="A63" s="22"/>
      <c r="B63" s="23"/>
      <c r="C63" s="57" t="s">
        <v>181</v>
      </c>
      <c r="D63" s="59" t="s">
        <v>191</v>
      </c>
      <c r="E63" s="73">
        <f>F63</f>
        <v>1881</v>
      </c>
      <c r="F63" s="73">
        <v>1881</v>
      </c>
      <c r="G63" s="73"/>
      <c r="H63" s="83">
        <v>0</v>
      </c>
      <c r="I63" s="69">
        <f t="shared" si="1"/>
        <v>0</v>
      </c>
      <c r="J63" s="13"/>
      <c r="K63" s="13"/>
      <c r="L63" s="13"/>
    </row>
    <row r="64" spans="1:12" ht="76.5" customHeight="1">
      <c r="A64" s="22"/>
      <c r="B64" s="23"/>
      <c r="C64" s="57" t="s">
        <v>151</v>
      </c>
      <c r="D64" s="59" t="s">
        <v>191</v>
      </c>
      <c r="E64" s="73">
        <f>F64</f>
        <v>57</v>
      </c>
      <c r="F64" s="73">
        <v>57</v>
      </c>
      <c r="G64" s="73"/>
      <c r="H64" s="83">
        <v>0</v>
      </c>
      <c r="I64" s="69">
        <f t="shared" si="1"/>
        <v>0</v>
      </c>
      <c r="J64" s="13"/>
      <c r="K64" s="13"/>
      <c r="L64" s="13"/>
    </row>
    <row r="65" spans="1:12" ht="19.5" customHeight="1">
      <c r="A65" s="22"/>
      <c r="B65" s="57" t="s">
        <v>63</v>
      </c>
      <c r="C65" s="58"/>
      <c r="D65" s="60" t="s">
        <v>64</v>
      </c>
      <c r="E65" s="75">
        <f>+SUM(F65:G65)</f>
        <v>28000</v>
      </c>
      <c r="F65" s="75">
        <f>SUM(F66:F67)</f>
        <v>28000</v>
      </c>
      <c r="G65" s="75" t="str">
        <f>IF((G66+G66)&gt;0,(G66+G67)," ")</f>
        <v> </v>
      </c>
      <c r="H65" s="78">
        <f>SUM(H66:H67)</f>
        <v>28000</v>
      </c>
      <c r="I65" s="66">
        <f t="shared" si="1"/>
        <v>100</v>
      </c>
      <c r="J65" s="13"/>
      <c r="K65" s="13"/>
      <c r="L65" s="13"/>
    </row>
    <row r="66" spans="1:12" ht="55.5" customHeight="1">
      <c r="A66" s="22"/>
      <c r="B66" s="101"/>
      <c r="C66" s="57" t="s">
        <v>13</v>
      </c>
      <c r="D66" s="59" t="s">
        <v>14</v>
      </c>
      <c r="E66" s="73">
        <f t="shared" si="4"/>
        <v>22000</v>
      </c>
      <c r="F66" s="73">
        <v>22000</v>
      </c>
      <c r="G66" s="73"/>
      <c r="H66" s="84">
        <v>22000</v>
      </c>
      <c r="I66" s="69">
        <f t="shared" si="1"/>
        <v>100</v>
      </c>
      <c r="J66" s="13"/>
      <c r="K66" s="13"/>
      <c r="L66" s="13"/>
    </row>
    <row r="67" spans="1:12" ht="57" customHeight="1">
      <c r="A67" s="24"/>
      <c r="B67" s="99"/>
      <c r="C67" s="57" t="s">
        <v>65</v>
      </c>
      <c r="D67" s="59" t="s">
        <v>66</v>
      </c>
      <c r="E67" s="73">
        <f t="shared" si="4"/>
        <v>6000</v>
      </c>
      <c r="F67" s="73">
        <v>6000</v>
      </c>
      <c r="G67" s="73"/>
      <c r="H67" s="83">
        <v>6000</v>
      </c>
      <c r="I67" s="69">
        <f t="shared" si="1"/>
        <v>100</v>
      </c>
      <c r="J67" s="13"/>
      <c r="K67" s="13"/>
      <c r="L67" s="13"/>
    </row>
    <row r="68" spans="1:12" ht="37.5" customHeight="1">
      <c r="A68" s="85" t="s">
        <v>67</v>
      </c>
      <c r="B68" s="45"/>
      <c r="C68" s="45"/>
      <c r="D68" s="76" t="s">
        <v>68</v>
      </c>
      <c r="E68" s="61">
        <f>SUM(F68:G68)</f>
        <v>3207607</v>
      </c>
      <c r="F68" s="61">
        <f>F69</f>
        <v>3047607</v>
      </c>
      <c r="G68" s="61">
        <f>IF($G69&gt;0,$G69," ")</f>
        <v>160000</v>
      </c>
      <c r="H68" s="62">
        <f>SUM(H69)</f>
        <v>1771075.64</v>
      </c>
      <c r="I68" s="63">
        <f t="shared" si="1"/>
        <v>55.21</v>
      </c>
      <c r="J68" s="16">
        <f>IF($G69&gt;0,$G69," ")</f>
        <v>160000</v>
      </c>
      <c r="K68" s="13"/>
      <c r="L68" s="13"/>
    </row>
    <row r="69" spans="1:12" ht="19.5" customHeight="1">
      <c r="A69" s="77"/>
      <c r="B69" s="40" t="s">
        <v>69</v>
      </c>
      <c r="C69" s="58"/>
      <c r="D69" s="60" t="s">
        <v>70</v>
      </c>
      <c r="E69" s="75">
        <f>SUM(F69:G69)</f>
        <v>3207607</v>
      </c>
      <c r="F69" s="75">
        <f>SUM(F70:F73)</f>
        <v>3047607</v>
      </c>
      <c r="G69" s="75">
        <f>IF((G70+G71+G72+G73)&gt;0,(G70+G71+G72+G73)," ")</f>
        <v>160000</v>
      </c>
      <c r="H69" s="103">
        <f>SUM(H70:H73)</f>
        <v>1771075.64</v>
      </c>
      <c r="I69" s="66">
        <f t="shared" si="1"/>
        <v>55.21</v>
      </c>
      <c r="J69" s="13"/>
      <c r="K69" s="13"/>
      <c r="L69" s="13"/>
    </row>
    <row r="70" spans="1:12" ht="56.25" customHeight="1">
      <c r="A70" s="82"/>
      <c r="B70" s="77"/>
      <c r="C70" s="57" t="s">
        <v>13</v>
      </c>
      <c r="D70" s="59" t="s">
        <v>14</v>
      </c>
      <c r="E70" s="73">
        <f aca="true" t="shared" si="5" ref="E70:E138">SUM(F70:G70)</f>
        <v>3047000</v>
      </c>
      <c r="F70" s="73">
        <v>3047000</v>
      </c>
      <c r="G70" s="73"/>
      <c r="H70" s="83">
        <v>1770600</v>
      </c>
      <c r="I70" s="69">
        <f t="shared" si="1"/>
        <v>58.11</v>
      </c>
      <c r="J70" s="13"/>
      <c r="K70" s="13"/>
      <c r="L70" s="13"/>
    </row>
    <row r="71" spans="1:12" ht="18.75" customHeight="1">
      <c r="A71" s="82"/>
      <c r="B71" s="82"/>
      <c r="C71" s="57" t="s">
        <v>31</v>
      </c>
      <c r="D71" s="59" t="s">
        <v>32</v>
      </c>
      <c r="E71" s="73">
        <f t="shared" si="5"/>
        <v>600</v>
      </c>
      <c r="F71" s="73">
        <v>600</v>
      </c>
      <c r="G71" s="73"/>
      <c r="H71" s="84">
        <v>454.41</v>
      </c>
      <c r="I71" s="69">
        <f t="shared" si="1"/>
        <v>75.74</v>
      </c>
      <c r="J71" s="13"/>
      <c r="K71" s="13"/>
      <c r="L71" s="13"/>
    </row>
    <row r="72" spans="1:12" ht="54.75" customHeight="1">
      <c r="A72" s="82"/>
      <c r="B72" s="82"/>
      <c r="C72" s="57" t="s">
        <v>17</v>
      </c>
      <c r="D72" s="59" t="s">
        <v>18</v>
      </c>
      <c r="E72" s="73">
        <f t="shared" si="5"/>
        <v>7</v>
      </c>
      <c r="F72" s="73">
        <v>7</v>
      </c>
      <c r="G72" s="73"/>
      <c r="H72" s="83">
        <v>21.23</v>
      </c>
      <c r="I72" s="69">
        <f t="shared" si="1"/>
        <v>303.29</v>
      </c>
      <c r="J72" s="13"/>
      <c r="K72" s="13"/>
      <c r="L72" s="13"/>
    </row>
    <row r="73" spans="1:12" ht="57" customHeight="1">
      <c r="A73" s="82"/>
      <c r="B73" s="82"/>
      <c r="C73" s="101" t="s">
        <v>71</v>
      </c>
      <c r="D73" s="105" t="s">
        <v>72</v>
      </c>
      <c r="E73" s="106">
        <f t="shared" si="5"/>
        <v>160000</v>
      </c>
      <c r="F73" s="106"/>
      <c r="G73" s="106">
        <v>160000</v>
      </c>
      <c r="H73" s="84">
        <v>0</v>
      </c>
      <c r="I73" s="69">
        <f t="shared" si="1"/>
        <v>0</v>
      </c>
      <c r="J73" s="13"/>
      <c r="K73" s="13"/>
      <c r="L73" s="13"/>
    </row>
    <row r="74" spans="1:12" ht="77.25" customHeight="1">
      <c r="A74" s="85" t="s">
        <v>73</v>
      </c>
      <c r="B74" s="45"/>
      <c r="C74" s="45"/>
      <c r="D74" s="76" t="s">
        <v>74</v>
      </c>
      <c r="E74" s="61">
        <f>SUM(F74:G74)</f>
        <v>8688633</v>
      </c>
      <c r="F74" s="61">
        <f>F75+F80</f>
        <v>8688633</v>
      </c>
      <c r="G74" s="61"/>
      <c r="H74" s="62">
        <f>H75+H80</f>
        <v>3946546.3</v>
      </c>
      <c r="I74" s="63">
        <f t="shared" si="1"/>
        <v>45.42</v>
      </c>
      <c r="J74" s="16" t="e">
        <f>IF(($G75+$G80)&gt;0,($G75+$G80)," ")</f>
        <v>#VALUE!</v>
      </c>
      <c r="K74" s="18"/>
      <c r="L74" s="18"/>
    </row>
    <row r="75" spans="1:12" ht="42.75" customHeight="1">
      <c r="A75" s="77"/>
      <c r="B75" s="40" t="s">
        <v>75</v>
      </c>
      <c r="C75" s="58"/>
      <c r="D75" s="60" t="s">
        <v>76</v>
      </c>
      <c r="E75" s="75">
        <f>SUM(F75:G75)</f>
        <v>1925857</v>
      </c>
      <c r="F75" s="75">
        <f>F76+F77</f>
        <v>1925857</v>
      </c>
      <c r="G75" s="75" t="str">
        <f>IF((G76+G77)&gt;0,(G76+G77)," ")</f>
        <v> </v>
      </c>
      <c r="H75" s="103">
        <f>SUM(H76:H79)</f>
        <v>1039527.67</v>
      </c>
      <c r="I75" s="66">
        <f t="shared" si="1"/>
        <v>53.98</v>
      </c>
      <c r="J75" s="13"/>
      <c r="K75" s="13"/>
      <c r="L75" s="13"/>
    </row>
    <row r="76" spans="1:12" ht="21" customHeight="1">
      <c r="A76" s="97"/>
      <c r="B76" s="77"/>
      <c r="C76" s="57" t="s">
        <v>77</v>
      </c>
      <c r="D76" s="59" t="s">
        <v>78</v>
      </c>
      <c r="E76" s="73">
        <f t="shared" si="5"/>
        <v>1859570</v>
      </c>
      <c r="F76" s="73">
        <v>1859570</v>
      </c>
      <c r="G76" s="73"/>
      <c r="H76" s="83">
        <v>936924.4</v>
      </c>
      <c r="I76" s="69">
        <f t="shared" si="1"/>
        <v>50.38</v>
      </c>
      <c r="J76" s="13"/>
      <c r="K76" s="13"/>
      <c r="L76" s="13"/>
    </row>
    <row r="77" spans="1:12" ht="38.25" customHeight="1">
      <c r="A77" s="97"/>
      <c r="B77" s="82"/>
      <c r="C77" s="57" t="s">
        <v>79</v>
      </c>
      <c r="D77" s="59" t="s">
        <v>80</v>
      </c>
      <c r="E77" s="73">
        <f t="shared" si="5"/>
        <v>66287</v>
      </c>
      <c r="F77" s="73">
        <v>66287</v>
      </c>
      <c r="G77" s="73"/>
      <c r="H77" s="74">
        <v>102554.67</v>
      </c>
      <c r="I77" s="69">
        <f t="shared" si="1"/>
        <v>154.71</v>
      </c>
      <c r="J77" s="13"/>
      <c r="K77" s="13"/>
      <c r="L77" s="13"/>
    </row>
    <row r="78" spans="1:12" ht="19.5" customHeight="1">
      <c r="A78" s="97"/>
      <c r="B78" s="82"/>
      <c r="C78" s="57" t="s">
        <v>61</v>
      </c>
      <c r="D78" s="59" t="s">
        <v>62</v>
      </c>
      <c r="E78" s="73">
        <f>F78</f>
        <v>0</v>
      </c>
      <c r="F78" s="73">
        <v>0</v>
      </c>
      <c r="G78" s="73"/>
      <c r="H78" s="84">
        <v>26.4</v>
      </c>
      <c r="I78" s="69">
        <v>0</v>
      </c>
      <c r="J78" s="13"/>
      <c r="K78" s="13"/>
      <c r="L78" s="13"/>
    </row>
    <row r="79" spans="1:12" ht="19.5" customHeight="1">
      <c r="A79" s="97"/>
      <c r="B79" s="55"/>
      <c r="C79" s="57" t="s">
        <v>185</v>
      </c>
      <c r="D79" s="59" t="s">
        <v>188</v>
      </c>
      <c r="E79" s="73">
        <f>F79</f>
        <v>0</v>
      </c>
      <c r="F79" s="73">
        <v>0</v>
      </c>
      <c r="G79" s="73"/>
      <c r="H79" s="74">
        <v>22.2</v>
      </c>
      <c r="I79" s="69">
        <v>0</v>
      </c>
      <c r="J79" s="13"/>
      <c r="K79" s="13"/>
      <c r="L79" s="13"/>
    </row>
    <row r="80" spans="1:12" ht="40.5" customHeight="1">
      <c r="A80" s="82"/>
      <c r="B80" s="55" t="s">
        <v>83</v>
      </c>
      <c r="C80" s="58"/>
      <c r="D80" s="60" t="s">
        <v>84</v>
      </c>
      <c r="E80" s="75">
        <f>SUM(F80:G80)</f>
        <v>6762776</v>
      </c>
      <c r="F80" s="75">
        <f>SUM(F81:F82)</f>
        <v>6762776</v>
      </c>
      <c r="G80" s="75" t="str">
        <f>IF((G81+G82)&gt;0,(G81+G82)," ")</f>
        <v> </v>
      </c>
      <c r="H80" s="78">
        <f>SUM(H81:H82)</f>
        <v>2907018.63</v>
      </c>
      <c r="I80" s="66">
        <f t="shared" si="1"/>
        <v>42.99</v>
      </c>
      <c r="J80" s="13"/>
      <c r="K80" s="13"/>
      <c r="L80" s="13"/>
    </row>
    <row r="81" spans="1:12" ht="20.25" customHeight="1">
      <c r="A81" s="82"/>
      <c r="B81" s="101"/>
      <c r="C81" s="57" t="s">
        <v>85</v>
      </c>
      <c r="D81" s="59" t="s">
        <v>86</v>
      </c>
      <c r="E81" s="73">
        <f t="shared" si="5"/>
        <v>6612776</v>
      </c>
      <c r="F81" s="73">
        <v>6612776</v>
      </c>
      <c r="G81" s="73"/>
      <c r="H81" s="84">
        <v>2832965</v>
      </c>
      <c r="I81" s="69">
        <f t="shared" si="1"/>
        <v>42.84</v>
      </c>
      <c r="J81" s="13"/>
      <c r="K81" s="13"/>
      <c r="L81" s="13"/>
    </row>
    <row r="82" spans="1:12" ht="21" customHeight="1">
      <c r="A82" s="55"/>
      <c r="B82" s="99"/>
      <c r="C82" s="57" t="s">
        <v>87</v>
      </c>
      <c r="D82" s="59" t="s">
        <v>88</v>
      </c>
      <c r="E82" s="73">
        <f t="shared" si="5"/>
        <v>150000</v>
      </c>
      <c r="F82" s="73">
        <v>150000</v>
      </c>
      <c r="G82" s="73"/>
      <c r="H82" s="83">
        <v>74053.63</v>
      </c>
      <c r="I82" s="69">
        <f t="shared" si="1"/>
        <v>49.37</v>
      </c>
      <c r="J82" s="13"/>
      <c r="K82" s="13"/>
      <c r="L82" s="13"/>
    </row>
    <row r="83" spans="1:12" ht="18" customHeight="1">
      <c r="A83" s="131" t="s">
        <v>173</v>
      </c>
      <c r="B83" s="133" t="s">
        <v>174</v>
      </c>
      <c r="C83" s="133" t="s">
        <v>175</v>
      </c>
      <c r="D83" s="131" t="s">
        <v>176</v>
      </c>
      <c r="E83" s="41">
        <v>5</v>
      </c>
      <c r="F83" s="41">
        <v>6</v>
      </c>
      <c r="G83" s="41">
        <v>7</v>
      </c>
      <c r="H83" s="134">
        <v>8</v>
      </c>
      <c r="I83" s="132">
        <v>9</v>
      </c>
      <c r="J83" s="13"/>
      <c r="K83" s="13"/>
      <c r="L83" s="13"/>
    </row>
    <row r="84" spans="1:12" ht="20.25" customHeight="1">
      <c r="A84" s="45" t="s">
        <v>89</v>
      </c>
      <c r="B84" s="45"/>
      <c r="C84" s="45"/>
      <c r="D84" s="76" t="s">
        <v>90</v>
      </c>
      <c r="E84" s="61">
        <f>SUM(F84:G84)</f>
        <v>37197089</v>
      </c>
      <c r="F84" s="61">
        <f>F85+F87+F89+F91</f>
        <v>37197089</v>
      </c>
      <c r="G84" s="61"/>
      <c r="H84" s="80">
        <f>H85+H87+H89+H91</f>
        <v>22081109.01</v>
      </c>
      <c r="I84" s="63">
        <f t="shared" si="1"/>
        <v>59.36</v>
      </c>
      <c r="J84" s="17" t="e">
        <f>IF(($G85+$G87+$G89+$G91)&gt;0,($G85+$G87+$G89+$G91)," ")</f>
        <v>#VALUE!</v>
      </c>
      <c r="K84" s="13"/>
      <c r="L84" s="13"/>
    </row>
    <row r="85" spans="1:12" ht="36" customHeight="1">
      <c r="A85" s="77"/>
      <c r="B85" s="77" t="s">
        <v>91</v>
      </c>
      <c r="C85" s="58"/>
      <c r="D85" s="60" t="s">
        <v>92</v>
      </c>
      <c r="E85" s="75">
        <f t="shared" si="5"/>
        <v>30164887</v>
      </c>
      <c r="F85" s="75">
        <f>F86</f>
        <v>30164887</v>
      </c>
      <c r="G85" s="75" t="str">
        <f>IF(G86&gt;0,G86," ")</f>
        <v> </v>
      </c>
      <c r="H85" s="103">
        <f>SUM(H86)</f>
        <v>18563008</v>
      </c>
      <c r="I85" s="66">
        <f t="shared" si="1"/>
        <v>61.54</v>
      </c>
      <c r="J85" s="13"/>
      <c r="K85" s="13"/>
      <c r="L85" s="13"/>
    </row>
    <row r="86" spans="1:12" ht="18.75" customHeight="1">
      <c r="A86" s="82"/>
      <c r="B86" s="58"/>
      <c r="C86" s="58" t="s">
        <v>93</v>
      </c>
      <c r="D86" s="59" t="s">
        <v>94</v>
      </c>
      <c r="E86" s="73">
        <f t="shared" si="5"/>
        <v>30164887</v>
      </c>
      <c r="F86" s="73">
        <v>30164887</v>
      </c>
      <c r="G86" s="73"/>
      <c r="H86" s="83">
        <v>18563008</v>
      </c>
      <c r="I86" s="69">
        <f t="shared" si="1"/>
        <v>61.54</v>
      </c>
      <c r="J86" s="13"/>
      <c r="K86" s="13"/>
      <c r="L86" s="13"/>
    </row>
    <row r="87" spans="1:12" ht="18" customHeight="1">
      <c r="A87" s="82"/>
      <c r="B87" s="58" t="s">
        <v>95</v>
      </c>
      <c r="C87" s="58"/>
      <c r="D87" s="60" t="s">
        <v>96</v>
      </c>
      <c r="E87" s="75">
        <f t="shared" si="5"/>
        <v>5255850</v>
      </c>
      <c r="F87" s="75">
        <f>F88</f>
        <v>5255850</v>
      </c>
      <c r="G87" s="75" t="str">
        <f>IF(G88&gt;0,G88," ")</f>
        <v> </v>
      </c>
      <c r="H87" s="103">
        <f>SUM(H88)</f>
        <v>2627928</v>
      </c>
      <c r="I87" s="66">
        <f t="shared" si="1"/>
        <v>50</v>
      </c>
      <c r="J87" s="13"/>
      <c r="K87" s="13"/>
      <c r="L87" s="13"/>
    </row>
    <row r="88" spans="1:12" ht="20.25" customHeight="1">
      <c r="A88" s="82"/>
      <c r="B88" s="58"/>
      <c r="C88" s="58" t="s">
        <v>93</v>
      </c>
      <c r="D88" s="59" t="s">
        <v>94</v>
      </c>
      <c r="E88" s="73">
        <f t="shared" si="5"/>
        <v>5255850</v>
      </c>
      <c r="F88" s="73">
        <v>5255850</v>
      </c>
      <c r="G88" s="73"/>
      <c r="H88" s="83">
        <v>2627928</v>
      </c>
      <c r="I88" s="69">
        <f t="shared" si="1"/>
        <v>50</v>
      </c>
      <c r="J88" s="13"/>
      <c r="K88" s="13"/>
      <c r="L88" s="13"/>
    </row>
    <row r="89" spans="1:12" ht="18" customHeight="1">
      <c r="A89" s="82"/>
      <c r="B89" s="58" t="s">
        <v>97</v>
      </c>
      <c r="C89" s="58"/>
      <c r="D89" s="60" t="s">
        <v>98</v>
      </c>
      <c r="E89" s="75">
        <f t="shared" si="5"/>
        <v>130780</v>
      </c>
      <c r="F89" s="75">
        <f>F90</f>
        <v>130780</v>
      </c>
      <c r="G89" s="75" t="str">
        <f>IF(G90&gt;0,G90," ")</f>
        <v> </v>
      </c>
      <c r="H89" s="103">
        <f>SUM(H90)</f>
        <v>67387.01</v>
      </c>
      <c r="I89" s="66">
        <f t="shared" si="1"/>
        <v>51.53</v>
      </c>
      <c r="J89" s="13"/>
      <c r="K89" s="13"/>
      <c r="L89" s="13"/>
    </row>
    <row r="90" spans="1:12" ht="18" customHeight="1">
      <c r="A90" s="82"/>
      <c r="B90" s="58"/>
      <c r="C90" s="58" t="s">
        <v>43</v>
      </c>
      <c r="D90" s="59" t="s">
        <v>44</v>
      </c>
      <c r="E90" s="73">
        <f t="shared" si="5"/>
        <v>130780</v>
      </c>
      <c r="F90" s="73">
        <v>130780</v>
      </c>
      <c r="G90" s="73"/>
      <c r="H90" s="83">
        <v>67387.01</v>
      </c>
      <c r="I90" s="69">
        <f t="shared" si="1"/>
        <v>51.53</v>
      </c>
      <c r="J90" s="13"/>
      <c r="K90" s="13"/>
      <c r="L90" s="13"/>
    </row>
    <row r="91" spans="1:12" ht="19.5" customHeight="1">
      <c r="A91" s="82"/>
      <c r="B91" s="58" t="s">
        <v>99</v>
      </c>
      <c r="C91" s="58"/>
      <c r="D91" s="60" t="s">
        <v>100</v>
      </c>
      <c r="E91" s="75">
        <f t="shared" si="5"/>
        <v>1645572</v>
      </c>
      <c r="F91" s="75">
        <f>F92</f>
        <v>1645572</v>
      </c>
      <c r="G91" s="75" t="str">
        <f>IF(G92&gt;0,G92," ")</f>
        <v> </v>
      </c>
      <c r="H91" s="103">
        <f>SUM(H92)</f>
        <v>822786</v>
      </c>
      <c r="I91" s="66">
        <f t="shared" si="1"/>
        <v>50</v>
      </c>
      <c r="J91" s="13"/>
      <c r="K91" s="13"/>
      <c r="L91" s="13"/>
    </row>
    <row r="92" spans="1:12" ht="19.5" customHeight="1">
      <c r="A92" s="55"/>
      <c r="B92" s="58"/>
      <c r="C92" s="58" t="s">
        <v>93</v>
      </c>
      <c r="D92" s="59" t="s">
        <v>94</v>
      </c>
      <c r="E92" s="73">
        <f t="shared" si="5"/>
        <v>1645572</v>
      </c>
      <c r="F92" s="73">
        <v>1645572</v>
      </c>
      <c r="G92" s="73"/>
      <c r="H92" s="83">
        <v>822786</v>
      </c>
      <c r="I92" s="69">
        <f t="shared" si="1"/>
        <v>50</v>
      </c>
      <c r="J92" s="13"/>
      <c r="K92" s="13"/>
      <c r="L92" s="13"/>
    </row>
    <row r="93" spans="1:12" ht="19.5" customHeight="1">
      <c r="A93" s="45" t="s">
        <v>101</v>
      </c>
      <c r="B93" s="45"/>
      <c r="C93" s="45"/>
      <c r="D93" s="76" t="s">
        <v>102</v>
      </c>
      <c r="E93" s="61">
        <f>SUM(F93:G93)</f>
        <v>776808</v>
      </c>
      <c r="F93" s="61">
        <f>F94+F98+F104+F106</f>
        <v>776808</v>
      </c>
      <c r="G93" s="61">
        <v>0</v>
      </c>
      <c r="H93" s="62">
        <f>H94+H98+H104+H106</f>
        <v>363483.98</v>
      </c>
      <c r="I93" s="63">
        <f t="shared" si="1"/>
        <v>46.79</v>
      </c>
      <c r="J93" s="16" t="e">
        <f>IF(($G94+#REF!+$G98+$G104+$G106)&gt;0,($G94+#REF!+$G98+$G104+$G106)," ")</f>
        <v>#REF!</v>
      </c>
      <c r="K93" s="13"/>
      <c r="L93" s="13"/>
    </row>
    <row r="94" spans="1:12" ht="20.25" customHeight="1">
      <c r="A94" s="82"/>
      <c r="B94" s="40" t="s">
        <v>103</v>
      </c>
      <c r="C94" s="55"/>
      <c r="D94" s="56" t="s">
        <v>104</v>
      </c>
      <c r="E94" s="70">
        <f t="shared" si="5"/>
        <v>86945</v>
      </c>
      <c r="F94" s="70">
        <f>SUM(F96:F97)</f>
        <v>86945</v>
      </c>
      <c r="G94" s="107">
        <v>0</v>
      </c>
      <c r="H94" s="103">
        <f>SUM(H95:H97)</f>
        <v>40062.3</v>
      </c>
      <c r="I94" s="108">
        <f t="shared" si="1"/>
        <v>46.08</v>
      </c>
      <c r="J94" s="13"/>
      <c r="K94" s="13"/>
      <c r="L94" s="13"/>
    </row>
    <row r="95" spans="1:12" ht="21" customHeight="1">
      <c r="A95" s="97"/>
      <c r="B95" s="77"/>
      <c r="C95" s="99" t="s">
        <v>29</v>
      </c>
      <c r="D95" s="109" t="s">
        <v>30</v>
      </c>
      <c r="E95" s="71">
        <v>0</v>
      </c>
      <c r="F95" s="71" t="s">
        <v>184</v>
      </c>
      <c r="G95" s="73">
        <v>0</v>
      </c>
      <c r="H95" s="110">
        <v>416</v>
      </c>
      <c r="I95" s="69">
        <v>0</v>
      </c>
      <c r="J95" s="13"/>
      <c r="K95" s="13"/>
      <c r="L95" s="13"/>
    </row>
    <row r="96" spans="1:12" ht="23.25" customHeight="1">
      <c r="A96" s="97"/>
      <c r="B96" s="82"/>
      <c r="C96" s="57" t="s">
        <v>31</v>
      </c>
      <c r="D96" s="59" t="s">
        <v>32</v>
      </c>
      <c r="E96" s="73">
        <f t="shared" si="5"/>
        <v>73728</v>
      </c>
      <c r="F96" s="73">
        <v>73728</v>
      </c>
      <c r="G96" s="73"/>
      <c r="H96" s="83">
        <v>39646.3</v>
      </c>
      <c r="I96" s="69">
        <f t="shared" si="1"/>
        <v>53.77</v>
      </c>
      <c r="J96" s="13"/>
      <c r="K96" s="13"/>
      <c r="L96" s="13"/>
    </row>
    <row r="97" spans="1:12" ht="55.5" customHeight="1">
      <c r="A97" s="97"/>
      <c r="B97" s="82"/>
      <c r="C97" s="101" t="s">
        <v>105</v>
      </c>
      <c r="D97" s="105" t="s">
        <v>106</v>
      </c>
      <c r="E97" s="106">
        <f t="shared" si="5"/>
        <v>13217</v>
      </c>
      <c r="F97" s="106">
        <v>13217</v>
      </c>
      <c r="G97" s="106"/>
      <c r="H97" s="84">
        <v>0</v>
      </c>
      <c r="I97" s="111">
        <f t="shared" si="1"/>
        <v>0</v>
      </c>
      <c r="J97" s="13"/>
      <c r="K97" s="13"/>
      <c r="L97" s="13"/>
    </row>
    <row r="98" spans="1:12" ht="18.75" customHeight="1">
      <c r="A98" s="22"/>
      <c r="B98" s="58" t="s">
        <v>107</v>
      </c>
      <c r="C98" s="58"/>
      <c r="D98" s="60" t="s">
        <v>108</v>
      </c>
      <c r="E98" s="75">
        <f t="shared" si="5"/>
        <v>258863</v>
      </c>
      <c r="F98" s="75">
        <f>SUM(F102:F103)</f>
        <v>258863</v>
      </c>
      <c r="G98" s="75">
        <v>0</v>
      </c>
      <c r="H98" s="72">
        <f>SUM(H99:H103)</f>
        <v>127203.68000000001</v>
      </c>
      <c r="I98" s="66">
        <f t="shared" si="1"/>
        <v>49.14</v>
      </c>
      <c r="J98" s="13"/>
      <c r="K98" s="13"/>
      <c r="L98" s="13"/>
    </row>
    <row r="99" spans="1:12" ht="18.75" customHeight="1">
      <c r="A99" s="26"/>
      <c r="B99" s="77"/>
      <c r="C99" s="57" t="s">
        <v>114</v>
      </c>
      <c r="D99" s="59" t="s">
        <v>115</v>
      </c>
      <c r="E99" s="73">
        <f>F99</f>
        <v>0</v>
      </c>
      <c r="F99" s="73">
        <v>0</v>
      </c>
      <c r="G99" s="75"/>
      <c r="H99" s="83">
        <v>503.7</v>
      </c>
      <c r="I99" s="69">
        <v>0</v>
      </c>
      <c r="J99" s="13"/>
      <c r="K99" s="13"/>
      <c r="L99" s="13"/>
    </row>
    <row r="100" spans="1:12" ht="19.5" customHeight="1">
      <c r="A100" s="26"/>
      <c r="B100" s="82"/>
      <c r="C100" s="57" t="s">
        <v>29</v>
      </c>
      <c r="D100" s="59" t="s">
        <v>30</v>
      </c>
      <c r="E100" s="73">
        <v>0</v>
      </c>
      <c r="F100" s="73" t="s">
        <v>184</v>
      </c>
      <c r="G100" s="73">
        <v>0</v>
      </c>
      <c r="H100" s="74">
        <v>300</v>
      </c>
      <c r="I100" s="69">
        <v>0</v>
      </c>
      <c r="J100" s="13"/>
      <c r="K100" s="13"/>
      <c r="L100" s="13"/>
    </row>
    <row r="101" spans="1:12" ht="18.75" customHeight="1">
      <c r="A101" s="26"/>
      <c r="B101" s="82"/>
      <c r="C101" s="57" t="s">
        <v>43</v>
      </c>
      <c r="D101" s="59" t="s">
        <v>44</v>
      </c>
      <c r="E101" s="73">
        <f>F101</f>
        <v>0</v>
      </c>
      <c r="F101" s="73">
        <v>0</v>
      </c>
      <c r="G101" s="75"/>
      <c r="H101" s="84">
        <v>570.99</v>
      </c>
      <c r="I101" s="69">
        <v>0</v>
      </c>
      <c r="J101" s="13"/>
      <c r="K101" s="13"/>
      <c r="L101" s="13"/>
    </row>
    <row r="102" spans="1:12" ht="18.75" customHeight="1">
      <c r="A102" s="26"/>
      <c r="B102" s="82"/>
      <c r="C102" s="57" t="s">
        <v>31</v>
      </c>
      <c r="D102" s="59" t="s">
        <v>32</v>
      </c>
      <c r="E102" s="73">
        <f t="shared" si="5"/>
        <v>195274</v>
      </c>
      <c r="F102" s="73">
        <v>195274</v>
      </c>
      <c r="G102" s="73"/>
      <c r="H102" s="83">
        <v>125828.99</v>
      </c>
      <c r="I102" s="69">
        <f t="shared" si="1"/>
        <v>64.44</v>
      </c>
      <c r="J102" s="13"/>
      <c r="K102" s="13"/>
      <c r="L102" s="13"/>
    </row>
    <row r="103" spans="1:12" ht="57" customHeight="1">
      <c r="A103" s="26"/>
      <c r="B103" s="55"/>
      <c r="C103" s="57" t="s">
        <v>109</v>
      </c>
      <c r="D103" s="59" t="s">
        <v>110</v>
      </c>
      <c r="E103" s="73">
        <f t="shared" si="5"/>
        <v>63589</v>
      </c>
      <c r="F103" s="73">
        <v>63589</v>
      </c>
      <c r="G103" s="73"/>
      <c r="H103" s="83">
        <v>0</v>
      </c>
      <c r="I103" s="69">
        <f t="shared" si="1"/>
        <v>0</v>
      </c>
      <c r="J103" s="13"/>
      <c r="K103" s="13"/>
      <c r="L103" s="13"/>
    </row>
    <row r="104" spans="1:12" ht="36.75" customHeight="1">
      <c r="A104" s="22"/>
      <c r="B104" s="40" t="s">
        <v>111</v>
      </c>
      <c r="C104" s="58"/>
      <c r="D104" s="60" t="s">
        <v>112</v>
      </c>
      <c r="E104" s="75">
        <f t="shared" si="5"/>
        <v>238400</v>
      </c>
      <c r="F104" s="75">
        <f>F105</f>
        <v>238400</v>
      </c>
      <c r="G104" s="75" t="str">
        <f>IF(G105&gt;0,G105," ")</f>
        <v> </v>
      </c>
      <c r="H104" s="78">
        <f>SUM(H105)</f>
        <v>92728</v>
      </c>
      <c r="I104" s="66">
        <f t="shared" si="1"/>
        <v>38.9</v>
      </c>
      <c r="J104" s="13"/>
      <c r="K104" s="13"/>
      <c r="L104" s="13"/>
    </row>
    <row r="105" spans="1:12" ht="18.75" customHeight="1">
      <c r="A105" s="22"/>
      <c r="B105" s="57"/>
      <c r="C105" s="58" t="s">
        <v>31</v>
      </c>
      <c r="D105" s="59" t="s">
        <v>32</v>
      </c>
      <c r="E105" s="73">
        <f t="shared" si="5"/>
        <v>238400</v>
      </c>
      <c r="F105" s="73">
        <v>238400</v>
      </c>
      <c r="G105" s="73"/>
      <c r="H105" s="84">
        <v>92728</v>
      </c>
      <c r="I105" s="69">
        <f t="shared" si="1"/>
        <v>38.9</v>
      </c>
      <c r="J105" s="13"/>
      <c r="K105" s="13"/>
      <c r="L105" s="13"/>
    </row>
    <row r="106" spans="1:12" ht="21" customHeight="1">
      <c r="A106" s="22"/>
      <c r="B106" s="40" t="s">
        <v>113</v>
      </c>
      <c r="C106" s="58"/>
      <c r="D106" s="60" t="s">
        <v>206</v>
      </c>
      <c r="E106" s="75">
        <f t="shared" si="5"/>
        <v>192600</v>
      </c>
      <c r="F106" s="75">
        <f>F107</f>
        <v>192600</v>
      </c>
      <c r="G106" s="75" t="str">
        <f>IF(G107&gt;0,G107," ")</f>
        <v> </v>
      </c>
      <c r="H106" s="78">
        <f>SUM(H107)</f>
        <v>103490</v>
      </c>
      <c r="I106" s="66">
        <f t="shared" si="1"/>
        <v>53.73</v>
      </c>
      <c r="J106" s="13"/>
      <c r="K106" s="13"/>
      <c r="L106" s="13"/>
    </row>
    <row r="107" spans="1:12" ht="21" customHeight="1">
      <c r="A107" s="24"/>
      <c r="B107" s="57"/>
      <c r="C107" s="58" t="s">
        <v>114</v>
      </c>
      <c r="D107" s="59" t="s">
        <v>115</v>
      </c>
      <c r="E107" s="73">
        <f t="shared" si="5"/>
        <v>192600</v>
      </c>
      <c r="F107" s="73">
        <v>192600</v>
      </c>
      <c r="G107" s="73"/>
      <c r="H107" s="84">
        <v>103490</v>
      </c>
      <c r="I107" s="69">
        <f t="shared" si="1"/>
        <v>53.73</v>
      </c>
      <c r="J107" s="13"/>
      <c r="K107" s="13"/>
      <c r="L107" s="13"/>
    </row>
    <row r="108" spans="1:12" ht="21" customHeight="1">
      <c r="A108" s="45" t="s">
        <v>116</v>
      </c>
      <c r="B108" s="45"/>
      <c r="C108" s="45"/>
      <c r="D108" s="76" t="s">
        <v>117</v>
      </c>
      <c r="E108" s="61">
        <f>SUM(F108:G108)</f>
        <v>2433720</v>
      </c>
      <c r="F108" s="61">
        <f>F109</f>
        <v>2433720</v>
      </c>
      <c r="G108" s="61"/>
      <c r="H108" s="62">
        <f>SUM(H109)</f>
        <v>1395865</v>
      </c>
      <c r="I108" s="63">
        <f t="shared" si="1"/>
        <v>57.36</v>
      </c>
      <c r="J108" s="16" t="str">
        <f>IF($G109&gt;0,$G109," ")</f>
        <v> </v>
      </c>
      <c r="K108" s="13"/>
      <c r="L108" s="13"/>
    </row>
    <row r="109" spans="1:12" ht="56.25" customHeight="1">
      <c r="A109" s="77"/>
      <c r="B109" s="58" t="s">
        <v>118</v>
      </c>
      <c r="C109" s="58"/>
      <c r="D109" s="60" t="s">
        <v>119</v>
      </c>
      <c r="E109" s="75">
        <f t="shared" si="5"/>
        <v>2433720</v>
      </c>
      <c r="F109" s="75">
        <f>F110</f>
        <v>2433720</v>
      </c>
      <c r="G109" s="75" t="str">
        <f>IF(G110&gt;0,G110," ")</f>
        <v> </v>
      </c>
      <c r="H109" s="103">
        <f>SUM(H110)</f>
        <v>1395865</v>
      </c>
      <c r="I109" s="66">
        <f t="shared" si="1"/>
        <v>57.36</v>
      </c>
      <c r="J109" s="13"/>
      <c r="K109" s="13"/>
      <c r="L109" s="13"/>
    </row>
    <row r="110" spans="1:12" ht="56.25" customHeight="1">
      <c r="A110" s="55"/>
      <c r="B110" s="58"/>
      <c r="C110" s="58" t="s">
        <v>13</v>
      </c>
      <c r="D110" s="59" t="s">
        <v>14</v>
      </c>
      <c r="E110" s="73">
        <f t="shared" si="5"/>
        <v>2433720</v>
      </c>
      <c r="F110" s="73">
        <v>2433720</v>
      </c>
      <c r="G110" s="73"/>
      <c r="H110" s="83">
        <v>1395865</v>
      </c>
      <c r="I110" s="69">
        <f t="shared" si="1"/>
        <v>57.36</v>
      </c>
      <c r="J110" s="13"/>
      <c r="K110" s="13"/>
      <c r="L110" s="13"/>
    </row>
    <row r="111" spans="1:12" ht="21" customHeight="1">
      <c r="A111" s="45" t="s">
        <v>120</v>
      </c>
      <c r="B111" s="45"/>
      <c r="C111" s="45"/>
      <c r="D111" s="76" t="s">
        <v>121</v>
      </c>
      <c r="E111" s="61">
        <f>SUM(F111:G111)</f>
        <v>3235733</v>
      </c>
      <c r="F111" s="61">
        <f>F112+F116+F121+F126+F128+F124</f>
        <v>3235733</v>
      </c>
      <c r="G111" s="61">
        <v>0</v>
      </c>
      <c r="H111" s="62">
        <f>H112+H116+H121+H126</f>
        <v>1590691.46</v>
      </c>
      <c r="I111" s="63">
        <f t="shared" si="1"/>
        <v>49.16</v>
      </c>
      <c r="J111" s="16" t="e">
        <f>IF(($G112+$G116+$G121+$G126+$G128)&gt;0,($G112+$G116+$G121+$G126+$G128)," ")</f>
        <v>#VALUE!</v>
      </c>
      <c r="K111" s="30"/>
      <c r="L111" s="30"/>
    </row>
    <row r="112" spans="1:12" ht="19.5" customHeight="1">
      <c r="A112" s="77"/>
      <c r="B112" s="113" t="s">
        <v>122</v>
      </c>
      <c r="C112" s="58"/>
      <c r="D112" s="60" t="s">
        <v>123</v>
      </c>
      <c r="E112" s="75">
        <f t="shared" si="5"/>
        <v>630710</v>
      </c>
      <c r="F112" s="75">
        <f>SUM(F113:F115)</f>
        <v>630710</v>
      </c>
      <c r="G112" s="75" t="str">
        <f>IF((G114+G115)&gt;0,(G114+G115)," ")</f>
        <v> </v>
      </c>
      <c r="H112" s="72">
        <f>SUM(H114:H115)</f>
        <v>332107.32</v>
      </c>
      <c r="I112" s="66">
        <f t="shared" si="1"/>
        <v>52.66</v>
      </c>
      <c r="J112" s="13"/>
      <c r="K112" s="13"/>
      <c r="L112" s="13"/>
    </row>
    <row r="113" spans="1:12" ht="56.25" customHeight="1">
      <c r="A113" s="97"/>
      <c r="B113" s="77"/>
      <c r="C113" s="57" t="s">
        <v>202</v>
      </c>
      <c r="D113" s="59" t="s">
        <v>203</v>
      </c>
      <c r="E113" s="73">
        <f>F113</f>
        <v>10862</v>
      </c>
      <c r="F113" s="73">
        <v>10862</v>
      </c>
      <c r="G113" s="75"/>
      <c r="H113" s="84">
        <v>0</v>
      </c>
      <c r="I113" s="69">
        <f t="shared" si="1"/>
        <v>0</v>
      </c>
      <c r="J113" s="13"/>
      <c r="K113" s="13"/>
      <c r="L113" s="13"/>
    </row>
    <row r="114" spans="1:12" ht="17.25" customHeight="1">
      <c r="A114" s="97"/>
      <c r="B114" s="82"/>
      <c r="C114" s="57" t="s">
        <v>31</v>
      </c>
      <c r="D114" s="59" t="s">
        <v>32</v>
      </c>
      <c r="E114" s="73">
        <f t="shared" si="5"/>
        <v>100</v>
      </c>
      <c r="F114" s="73">
        <v>100</v>
      </c>
      <c r="G114" s="73"/>
      <c r="H114" s="83">
        <v>61</v>
      </c>
      <c r="I114" s="69">
        <f t="shared" si="1"/>
        <v>61</v>
      </c>
      <c r="J114" s="13"/>
      <c r="K114" s="13"/>
      <c r="L114" s="13"/>
    </row>
    <row r="115" spans="1:12" ht="60" customHeight="1">
      <c r="A115" s="97"/>
      <c r="B115" s="55"/>
      <c r="C115" s="57" t="s">
        <v>124</v>
      </c>
      <c r="D115" s="59" t="s">
        <v>125</v>
      </c>
      <c r="E115" s="73">
        <f t="shared" si="5"/>
        <v>619748</v>
      </c>
      <c r="F115" s="73">
        <v>619748</v>
      </c>
      <c r="G115" s="73"/>
      <c r="H115" s="83">
        <v>332046.32</v>
      </c>
      <c r="I115" s="69">
        <f t="shared" si="1"/>
        <v>53.58</v>
      </c>
      <c r="J115" s="13"/>
      <c r="K115" s="13"/>
      <c r="L115" s="13"/>
    </row>
    <row r="116" spans="1:12" ht="21" customHeight="1">
      <c r="A116" s="82"/>
      <c r="B116" s="102" t="s">
        <v>126</v>
      </c>
      <c r="C116" s="58"/>
      <c r="D116" s="60" t="s">
        <v>127</v>
      </c>
      <c r="E116" s="75">
        <f t="shared" si="5"/>
        <v>2005519</v>
      </c>
      <c r="F116" s="75">
        <f>SUM(F117:F120)</f>
        <v>2005519</v>
      </c>
      <c r="G116" s="75">
        <v>0</v>
      </c>
      <c r="H116" s="103">
        <f>SUM(H117:H120)</f>
        <v>979289.34</v>
      </c>
      <c r="I116" s="66">
        <f t="shared" si="1"/>
        <v>48.83</v>
      </c>
      <c r="J116" s="13"/>
      <c r="K116" s="13"/>
      <c r="L116" s="13"/>
    </row>
    <row r="117" spans="1:12" ht="36" customHeight="1">
      <c r="A117" s="82"/>
      <c r="B117" s="101"/>
      <c r="C117" s="58" t="s">
        <v>128</v>
      </c>
      <c r="D117" s="59" t="s">
        <v>129</v>
      </c>
      <c r="E117" s="73">
        <f t="shared" si="5"/>
        <v>489880</v>
      </c>
      <c r="F117" s="73">
        <v>489880</v>
      </c>
      <c r="G117" s="73"/>
      <c r="H117" s="83">
        <v>254084</v>
      </c>
      <c r="I117" s="69">
        <f t="shared" si="1"/>
        <v>51.87</v>
      </c>
      <c r="J117" s="13"/>
      <c r="K117" s="13"/>
      <c r="L117" s="13"/>
    </row>
    <row r="118" spans="1:12" ht="18.75" customHeight="1">
      <c r="A118" s="82"/>
      <c r="B118" s="54"/>
      <c r="C118" s="58" t="s">
        <v>114</v>
      </c>
      <c r="D118" s="59" t="s">
        <v>130</v>
      </c>
      <c r="E118" s="73">
        <f t="shared" si="5"/>
        <v>1498492</v>
      </c>
      <c r="F118" s="73">
        <v>1498492</v>
      </c>
      <c r="G118" s="73"/>
      <c r="H118" s="84">
        <v>716749.77</v>
      </c>
      <c r="I118" s="69">
        <f t="shared" si="1"/>
        <v>47.83</v>
      </c>
      <c r="J118" s="13"/>
      <c r="K118" s="13"/>
      <c r="L118" s="13"/>
    </row>
    <row r="119" spans="1:12" ht="18.75" customHeight="1">
      <c r="A119" s="82"/>
      <c r="B119" s="54"/>
      <c r="C119" s="58" t="s">
        <v>29</v>
      </c>
      <c r="D119" s="59" t="s">
        <v>30</v>
      </c>
      <c r="E119" s="73">
        <v>0</v>
      </c>
      <c r="F119" s="73" t="s">
        <v>184</v>
      </c>
      <c r="G119" s="73">
        <v>0</v>
      </c>
      <c r="H119" s="74">
        <v>18.5</v>
      </c>
      <c r="I119" s="69">
        <v>0</v>
      </c>
      <c r="J119" s="13"/>
      <c r="K119" s="13"/>
      <c r="L119" s="13"/>
    </row>
    <row r="120" spans="1:12" ht="18" customHeight="1">
      <c r="A120" s="82"/>
      <c r="B120" s="99"/>
      <c r="C120" s="58" t="s">
        <v>31</v>
      </c>
      <c r="D120" s="59" t="s">
        <v>32</v>
      </c>
      <c r="E120" s="73">
        <f t="shared" si="5"/>
        <v>17147</v>
      </c>
      <c r="F120" s="73">
        <v>17147</v>
      </c>
      <c r="G120" s="73"/>
      <c r="H120" s="83">
        <v>8437.07</v>
      </c>
      <c r="I120" s="69">
        <f t="shared" si="1"/>
        <v>49.2</v>
      </c>
      <c r="J120" s="13"/>
      <c r="K120" s="13"/>
      <c r="L120" s="13"/>
    </row>
    <row r="121" spans="1:12" ht="18" customHeight="1">
      <c r="A121" s="82"/>
      <c r="B121" s="99" t="s">
        <v>131</v>
      </c>
      <c r="C121" s="55"/>
      <c r="D121" s="56" t="s">
        <v>132</v>
      </c>
      <c r="E121" s="70">
        <f t="shared" si="5"/>
        <v>594394</v>
      </c>
      <c r="F121" s="70">
        <f>F123+F122</f>
        <v>594394</v>
      </c>
      <c r="G121" s="70" t="str">
        <f>IF(G123&gt;0,G123," ")</f>
        <v> </v>
      </c>
      <c r="H121" s="103">
        <f>SUM(H122:H123)</f>
        <v>279228.8</v>
      </c>
      <c r="I121" s="66">
        <f t="shared" si="1"/>
        <v>46.98</v>
      </c>
      <c r="J121" s="13"/>
      <c r="K121" s="13"/>
      <c r="L121" s="13"/>
    </row>
    <row r="122" spans="1:12" ht="57" customHeight="1">
      <c r="A122" s="22"/>
      <c r="B122" s="28"/>
      <c r="C122" s="99" t="s">
        <v>202</v>
      </c>
      <c r="D122" s="59" t="s">
        <v>203</v>
      </c>
      <c r="E122" s="71">
        <f>F122</f>
        <v>2609</v>
      </c>
      <c r="F122" s="71">
        <v>2609</v>
      </c>
      <c r="G122" s="70"/>
      <c r="H122" s="83">
        <v>0</v>
      </c>
      <c r="I122" s="69">
        <f t="shared" si="1"/>
        <v>0</v>
      </c>
      <c r="J122" s="13"/>
      <c r="K122" s="13"/>
      <c r="L122" s="13"/>
    </row>
    <row r="123" spans="1:12" ht="57" customHeight="1">
      <c r="A123" s="22"/>
      <c r="B123" s="27"/>
      <c r="C123" s="57" t="s">
        <v>124</v>
      </c>
      <c r="D123" s="59" t="s">
        <v>125</v>
      </c>
      <c r="E123" s="73">
        <f t="shared" si="5"/>
        <v>591785</v>
      </c>
      <c r="F123" s="73">
        <v>591785</v>
      </c>
      <c r="G123" s="73"/>
      <c r="H123" s="84">
        <v>279228.8</v>
      </c>
      <c r="I123" s="69">
        <f t="shared" si="1"/>
        <v>47.18</v>
      </c>
      <c r="J123" s="13"/>
      <c r="K123" s="13"/>
      <c r="L123" s="13"/>
    </row>
    <row r="124" spans="1:12" ht="39.75" customHeight="1">
      <c r="A124" s="22"/>
      <c r="B124" s="58" t="s">
        <v>207</v>
      </c>
      <c r="C124" s="57"/>
      <c r="D124" s="60" t="s">
        <v>208</v>
      </c>
      <c r="E124" s="75">
        <f>F124</f>
        <v>4500</v>
      </c>
      <c r="F124" s="75">
        <f>F125</f>
        <v>4500</v>
      </c>
      <c r="G124" s="73"/>
      <c r="H124" s="72">
        <f>H125</f>
        <v>0</v>
      </c>
      <c r="I124" s="66">
        <f t="shared" si="1"/>
        <v>0</v>
      </c>
      <c r="J124" s="13"/>
      <c r="K124" s="13"/>
      <c r="L124" s="13"/>
    </row>
    <row r="125" spans="1:12" ht="57.75" customHeight="1">
      <c r="A125" s="22"/>
      <c r="B125" s="58"/>
      <c r="C125" s="57" t="s">
        <v>13</v>
      </c>
      <c r="D125" s="59" t="s">
        <v>14</v>
      </c>
      <c r="E125" s="73">
        <f>F125</f>
        <v>4500</v>
      </c>
      <c r="F125" s="73">
        <v>4500</v>
      </c>
      <c r="G125" s="73"/>
      <c r="H125" s="84">
        <v>0</v>
      </c>
      <c r="I125" s="69">
        <f t="shared" si="1"/>
        <v>0</v>
      </c>
      <c r="J125" s="13"/>
      <c r="K125" s="13"/>
      <c r="L125" s="13"/>
    </row>
    <row r="126" spans="1:12" ht="20.25" customHeight="1">
      <c r="A126" s="22"/>
      <c r="B126" s="102" t="s">
        <v>133</v>
      </c>
      <c r="C126" s="58"/>
      <c r="D126" s="60" t="s">
        <v>134</v>
      </c>
      <c r="E126" s="75">
        <f t="shared" si="5"/>
        <v>110</v>
      </c>
      <c r="F126" s="75">
        <f>SUM(F127:F127)</f>
        <v>110</v>
      </c>
      <c r="G126" s="75" t="str">
        <f>IF(G127&gt;0,G127," ")</f>
        <v> </v>
      </c>
      <c r="H126" s="78">
        <f>SUM(H127:H127)</f>
        <v>66</v>
      </c>
      <c r="I126" s="66">
        <f t="shared" si="1"/>
        <v>60</v>
      </c>
      <c r="J126" s="13"/>
      <c r="K126" s="13"/>
      <c r="L126" s="13"/>
    </row>
    <row r="127" spans="1:12" ht="21.75" customHeight="1">
      <c r="A127" s="22"/>
      <c r="B127" s="101"/>
      <c r="C127" s="57" t="s">
        <v>31</v>
      </c>
      <c r="D127" s="59" t="s">
        <v>32</v>
      </c>
      <c r="E127" s="73">
        <f t="shared" si="5"/>
        <v>110</v>
      </c>
      <c r="F127" s="73">
        <v>110</v>
      </c>
      <c r="G127" s="73"/>
      <c r="H127" s="83">
        <v>66</v>
      </c>
      <c r="I127" s="69">
        <f t="shared" si="1"/>
        <v>60</v>
      </c>
      <c r="J127" s="13"/>
      <c r="K127" s="13"/>
      <c r="L127" s="13"/>
    </row>
    <row r="128" spans="1:12" ht="39" customHeight="1">
      <c r="A128" s="22"/>
      <c r="B128" s="58" t="s">
        <v>135</v>
      </c>
      <c r="C128" s="58"/>
      <c r="D128" s="60" t="s">
        <v>136</v>
      </c>
      <c r="E128" s="75">
        <f t="shared" si="5"/>
        <v>500</v>
      </c>
      <c r="F128" s="75">
        <f>F129</f>
        <v>500</v>
      </c>
      <c r="G128" s="75" t="str">
        <f>IF(G129&gt;0,G129," ")</f>
        <v> </v>
      </c>
      <c r="H128" s="103">
        <f>SUM(H129)</f>
        <v>0</v>
      </c>
      <c r="I128" s="66">
        <f t="shared" si="1"/>
        <v>0</v>
      </c>
      <c r="J128" s="13"/>
      <c r="K128" s="13"/>
      <c r="L128" s="13"/>
    </row>
    <row r="129" spans="1:12" ht="19.5" customHeight="1">
      <c r="A129" s="24"/>
      <c r="B129" s="138"/>
      <c r="C129" s="58" t="s">
        <v>114</v>
      </c>
      <c r="D129" s="59" t="s">
        <v>115</v>
      </c>
      <c r="E129" s="73">
        <f t="shared" si="5"/>
        <v>500</v>
      </c>
      <c r="F129" s="73">
        <v>500</v>
      </c>
      <c r="G129" s="73"/>
      <c r="H129" s="83">
        <v>0</v>
      </c>
      <c r="I129" s="69">
        <f t="shared" si="1"/>
        <v>0</v>
      </c>
      <c r="J129" s="13"/>
      <c r="K129" s="13"/>
      <c r="L129" s="13"/>
    </row>
    <row r="130" spans="1:12" ht="19.5" customHeight="1">
      <c r="A130" s="131" t="s">
        <v>173</v>
      </c>
      <c r="B130" s="131" t="s">
        <v>174</v>
      </c>
      <c r="C130" s="131" t="s">
        <v>175</v>
      </c>
      <c r="D130" s="131" t="s">
        <v>176</v>
      </c>
      <c r="E130" s="41">
        <v>5</v>
      </c>
      <c r="F130" s="41">
        <v>6</v>
      </c>
      <c r="G130" s="41">
        <v>7</v>
      </c>
      <c r="H130" s="41">
        <v>8</v>
      </c>
      <c r="I130" s="132">
        <v>9</v>
      </c>
      <c r="J130" s="13"/>
      <c r="K130" s="13"/>
      <c r="L130" s="13"/>
    </row>
    <row r="131" spans="1:12" ht="38.25" customHeight="1">
      <c r="A131" s="45" t="s">
        <v>137</v>
      </c>
      <c r="B131" s="45"/>
      <c r="C131" s="114"/>
      <c r="D131" s="76" t="s">
        <v>138</v>
      </c>
      <c r="E131" s="61">
        <f>SUM(F131:G131)</f>
        <v>1388425</v>
      </c>
      <c r="F131" s="61">
        <f>F132+F134+F136+F138+F140</f>
        <v>1388425</v>
      </c>
      <c r="G131" s="61"/>
      <c r="H131" s="62">
        <f>H132+H134+H136+H138+H140</f>
        <v>582200.39</v>
      </c>
      <c r="I131" s="63">
        <f t="shared" si="1"/>
        <v>41.93</v>
      </c>
      <c r="J131" s="16" t="e">
        <f>IF(($G132+$G134+$G136+$G138+$G140)&gt;0,($G132+$G134+$G136+$G138+$G140)," ")</f>
        <v>#VALUE!</v>
      </c>
      <c r="K131" s="13"/>
      <c r="L131" s="13"/>
    </row>
    <row r="132" spans="1:12" ht="19.5" customHeight="1">
      <c r="A132" s="77"/>
      <c r="B132" s="58" t="s">
        <v>139</v>
      </c>
      <c r="C132" s="58"/>
      <c r="D132" s="60" t="s">
        <v>192</v>
      </c>
      <c r="E132" s="75">
        <f t="shared" si="5"/>
        <v>148379</v>
      </c>
      <c r="F132" s="75">
        <f>SUM(F133:F133)</f>
        <v>148379</v>
      </c>
      <c r="G132" s="75" t="str">
        <f>IF((G133)&gt;0,(G133)," ")</f>
        <v> </v>
      </c>
      <c r="H132" s="78">
        <f>SUM(H133:H133)</f>
        <v>73191</v>
      </c>
      <c r="I132" s="66">
        <f t="shared" si="1"/>
        <v>49.33</v>
      </c>
      <c r="J132" s="13"/>
      <c r="K132" s="13"/>
      <c r="L132" s="31" t="s">
        <v>184</v>
      </c>
    </row>
    <row r="133" spans="1:12" ht="56.25" customHeight="1">
      <c r="A133" s="82"/>
      <c r="B133" s="99"/>
      <c r="C133" s="58" t="s">
        <v>13</v>
      </c>
      <c r="D133" s="59" t="s">
        <v>14</v>
      </c>
      <c r="E133" s="73">
        <f t="shared" si="5"/>
        <v>148379</v>
      </c>
      <c r="F133" s="73">
        <v>148379</v>
      </c>
      <c r="G133" s="73"/>
      <c r="H133" s="84">
        <v>73191</v>
      </c>
      <c r="I133" s="69">
        <f t="shared" si="1"/>
        <v>49.33</v>
      </c>
      <c r="J133" s="13"/>
      <c r="K133" s="13"/>
      <c r="L133" s="13"/>
    </row>
    <row r="134" spans="1:12" ht="18" customHeight="1">
      <c r="A134" s="82"/>
      <c r="B134" s="40" t="s">
        <v>140</v>
      </c>
      <c r="C134" s="58"/>
      <c r="D134" s="60" t="s">
        <v>141</v>
      </c>
      <c r="E134" s="75">
        <f t="shared" si="5"/>
        <v>558800</v>
      </c>
      <c r="F134" s="75">
        <f>F135</f>
        <v>558800</v>
      </c>
      <c r="G134" s="75" t="str">
        <f>IF(G135&gt;0,G135," ")</f>
        <v> </v>
      </c>
      <c r="H134" s="78">
        <f>SUM(H135)</f>
        <v>279400</v>
      </c>
      <c r="I134" s="66">
        <f t="shared" si="1"/>
        <v>50</v>
      </c>
      <c r="J134" s="13"/>
      <c r="K134" s="13"/>
      <c r="L134" s="13"/>
    </row>
    <row r="135" spans="1:12" ht="75" customHeight="1">
      <c r="A135" s="82"/>
      <c r="B135" s="57"/>
      <c r="C135" s="58" t="s">
        <v>142</v>
      </c>
      <c r="D135" s="59" t="s">
        <v>143</v>
      </c>
      <c r="E135" s="73">
        <f t="shared" si="5"/>
        <v>558800</v>
      </c>
      <c r="F135" s="73">
        <v>558800</v>
      </c>
      <c r="G135" s="73"/>
      <c r="H135" s="84">
        <v>279400</v>
      </c>
      <c r="I135" s="69">
        <f t="shared" si="1"/>
        <v>50</v>
      </c>
      <c r="J135" s="13"/>
      <c r="K135" s="13"/>
      <c r="L135" s="13"/>
    </row>
    <row r="136" spans="1:12" ht="36" customHeight="1">
      <c r="A136" s="82"/>
      <c r="B136" s="40" t="s">
        <v>144</v>
      </c>
      <c r="C136" s="58"/>
      <c r="D136" s="149" t="s">
        <v>145</v>
      </c>
      <c r="E136" s="75">
        <f t="shared" si="5"/>
        <v>30000</v>
      </c>
      <c r="F136" s="75">
        <f>F137</f>
        <v>30000</v>
      </c>
      <c r="G136" s="75" t="str">
        <f>IF(G137&gt;0,G137," ")</f>
        <v> </v>
      </c>
      <c r="H136" s="78">
        <f>SUM(H137)</f>
        <v>15000</v>
      </c>
      <c r="I136" s="66">
        <f t="shared" si="1"/>
        <v>50</v>
      </c>
      <c r="J136" s="13"/>
      <c r="K136" s="13"/>
      <c r="L136" s="13"/>
    </row>
    <row r="137" spans="1:12" ht="19.5" customHeight="1">
      <c r="A137" s="82"/>
      <c r="B137" s="57"/>
      <c r="C137" s="58" t="s">
        <v>31</v>
      </c>
      <c r="D137" s="59" t="s">
        <v>32</v>
      </c>
      <c r="E137" s="73">
        <f t="shared" si="5"/>
        <v>30000</v>
      </c>
      <c r="F137" s="73">
        <v>30000</v>
      </c>
      <c r="G137" s="73"/>
      <c r="H137" s="84">
        <v>15000</v>
      </c>
      <c r="I137" s="69">
        <f t="shared" si="1"/>
        <v>50</v>
      </c>
      <c r="J137" s="13"/>
      <c r="K137" s="13"/>
      <c r="L137" s="13"/>
    </row>
    <row r="138" spans="1:12" ht="20.25" customHeight="1">
      <c r="A138" s="82"/>
      <c r="B138" s="40" t="s">
        <v>146</v>
      </c>
      <c r="C138" s="58"/>
      <c r="D138" s="60" t="s">
        <v>147</v>
      </c>
      <c r="E138" s="75">
        <f t="shared" si="5"/>
        <v>540</v>
      </c>
      <c r="F138" s="75">
        <f>F139</f>
        <v>540</v>
      </c>
      <c r="G138" s="75" t="str">
        <f>IF(G139&gt;0,G139," ")</f>
        <v> </v>
      </c>
      <c r="H138" s="78">
        <f>SUM(H139)</f>
        <v>414.39</v>
      </c>
      <c r="I138" s="66">
        <f t="shared" si="1"/>
        <v>76.74</v>
      </c>
      <c r="J138" s="13"/>
      <c r="K138" s="13"/>
      <c r="L138" s="13"/>
    </row>
    <row r="139" spans="1:12" ht="18" customHeight="1">
      <c r="A139" s="82"/>
      <c r="B139" s="57"/>
      <c r="C139" s="58" t="s">
        <v>31</v>
      </c>
      <c r="D139" s="59" t="s">
        <v>32</v>
      </c>
      <c r="E139" s="73">
        <f aca="true" t="shared" si="6" ref="E139:E186">SUM(F139:G139)</f>
        <v>540</v>
      </c>
      <c r="F139" s="73">
        <v>540</v>
      </c>
      <c r="G139" s="73"/>
      <c r="H139" s="83">
        <v>414.39</v>
      </c>
      <c r="I139" s="69">
        <f t="shared" si="1"/>
        <v>76.74</v>
      </c>
      <c r="J139" s="13"/>
      <c r="K139" s="13"/>
      <c r="L139" s="13"/>
    </row>
    <row r="140" spans="1:12" ht="18" customHeight="1">
      <c r="A140" s="82"/>
      <c r="B140" s="40" t="s">
        <v>148</v>
      </c>
      <c r="C140" s="58"/>
      <c r="D140" s="60" t="s">
        <v>149</v>
      </c>
      <c r="E140" s="75">
        <f t="shared" si="6"/>
        <v>650706</v>
      </c>
      <c r="F140" s="75">
        <f>SUM(F141:F142)</f>
        <v>650706</v>
      </c>
      <c r="G140" s="75" t="str">
        <f>IF((G141+G142)&gt;0,(G141+G142)," ")</f>
        <v> </v>
      </c>
      <c r="H140" s="103">
        <f>SUM(H141:H142)</f>
        <v>214195</v>
      </c>
      <c r="I140" s="66">
        <f t="shared" si="1"/>
        <v>32.92</v>
      </c>
      <c r="J140" s="13"/>
      <c r="K140" s="13"/>
      <c r="L140" s="13"/>
    </row>
    <row r="141" spans="1:12" ht="77.25" customHeight="1">
      <c r="A141" s="82"/>
      <c r="B141" s="101"/>
      <c r="C141" s="58" t="s">
        <v>181</v>
      </c>
      <c r="D141" s="59" t="s">
        <v>193</v>
      </c>
      <c r="E141" s="73">
        <f t="shared" si="6"/>
        <v>618032</v>
      </c>
      <c r="F141" s="73">
        <v>618032</v>
      </c>
      <c r="G141" s="73"/>
      <c r="H141" s="83">
        <v>199240.75</v>
      </c>
      <c r="I141" s="69">
        <f t="shared" si="1"/>
        <v>32.24</v>
      </c>
      <c r="J141" s="13"/>
      <c r="K141" s="13"/>
      <c r="L141" s="13"/>
    </row>
    <row r="142" spans="1:12" ht="75" customHeight="1">
      <c r="A142" s="22"/>
      <c r="B142" s="23"/>
      <c r="C142" s="77" t="s">
        <v>151</v>
      </c>
      <c r="D142" s="105" t="s">
        <v>194</v>
      </c>
      <c r="E142" s="106">
        <f t="shared" si="6"/>
        <v>32674</v>
      </c>
      <c r="F142" s="106">
        <v>32674</v>
      </c>
      <c r="G142" s="106"/>
      <c r="H142" s="84">
        <v>14954.25</v>
      </c>
      <c r="I142" s="111">
        <f t="shared" si="1"/>
        <v>45.77</v>
      </c>
      <c r="J142" s="13"/>
      <c r="K142" s="13"/>
      <c r="L142" s="13"/>
    </row>
    <row r="143" spans="1:12" ht="21.75" customHeight="1">
      <c r="A143" s="45" t="s">
        <v>152</v>
      </c>
      <c r="B143" s="45"/>
      <c r="C143" s="114"/>
      <c r="D143" s="76" t="s">
        <v>153</v>
      </c>
      <c r="E143" s="61">
        <f>SUM(F143:G143)</f>
        <v>802240</v>
      </c>
      <c r="F143" s="61">
        <f>F144+F148+F150+F152+F156+F160</f>
        <v>802240</v>
      </c>
      <c r="G143" s="61"/>
      <c r="H143" s="62">
        <f>H144+H148+H150+H152+H156+H160</f>
        <v>471626.51</v>
      </c>
      <c r="I143" s="63">
        <f t="shared" si="1"/>
        <v>58.79</v>
      </c>
      <c r="J143" s="16" t="e">
        <f>IF(($G144+$G148+$G150+$G152+$G156)&gt;0,($G144+$G148+$G150+$G152+$G156)," ")</f>
        <v>#VALUE!</v>
      </c>
      <c r="K143" s="18"/>
      <c r="L143" s="18"/>
    </row>
    <row r="144" spans="1:12" ht="19.5" customHeight="1">
      <c r="A144" s="77"/>
      <c r="B144" s="40" t="s">
        <v>154</v>
      </c>
      <c r="C144" s="58"/>
      <c r="D144" s="60" t="s">
        <v>155</v>
      </c>
      <c r="E144" s="75">
        <f t="shared" si="6"/>
        <v>33180</v>
      </c>
      <c r="F144" s="75">
        <f>SUM(F145:F147)</f>
        <v>33180</v>
      </c>
      <c r="G144" s="75" t="str">
        <f>IF((G145+G147)&gt;0,(G145+G147)," ")</f>
        <v> </v>
      </c>
      <c r="H144" s="103">
        <f>SUM(H145:H147)</f>
        <v>21833.5</v>
      </c>
      <c r="I144" s="66">
        <f t="shared" si="1"/>
        <v>65.8</v>
      </c>
      <c r="J144" s="13"/>
      <c r="K144" s="13"/>
      <c r="L144" s="13"/>
    </row>
    <row r="145" spans="1:12" ht="21" customHeight="1">
      <c r="A145" s="82"/>
      <c r="B145" s="101"/>
      <c r="C145" s="57" t="s">
        <v>114</v>
      </c>
      <c r="D145" s="59" t="s">
        <v>115</v>
      </c>
      <c r="E145" s="73">
        <f t="shared" si="6"/>
        <v>29184</v>
      </c>
      <c r="F145" s="73">
        <v>29184</v>
      </c>
      <c r="G145" s="73"/>
      <c r="H145" s="83">
        <v>19803.2</v>
      </c>
      <c r="I145" s="69">
        <f t="shared" si="1"/>
        <v>67.86</v>
      </c>
      <c r="J145" s="13"/>
      <c r="K145" s="13"/>
      <c r="L145" s="13"/>
    </row>
    <row r="146" spans="1:12" ht="21.75" customHeight="1">
      <c r="A146" s="82"/>
      <c r="B146" s="54"/>
      <c r="C146" s="57" t="s">
        <v>43</v>
      </c>
      <c r="D146" s="59" t="s">
        <v>44</v>
      </c>
      <c r="E146" s="73">
        <f t="shared" si="6"/>
        <v>0</v>
      </c>
      <c r="F146" s="73">
        <v>0</v>
      </c>
      <c r="G146" s="73"/>
      <c r="H146" s="83">
        <v>53.51</v>
      </c>
      <c r="I146" s="69">
        <v>0</v>
      </c>
      <c r="J146" s="13"/>
      <c r="K146" s="13"/>
      <c r="L146" s="13"/>
    </row>
    <row r="147" spans="1:12" ht="18.75" customHeight="1">
      <c r="A147" s="82"/>
      <c r="B147" s="99"/>
      <c r="C147" s="57" t="s">
        <v>31</v>
      </c>
      <c r="D147" s="59" t="s">
        <v>32</v>
      </c>
      <c r="E147" s="73">
        <f t="shared" si="6"/>
        <v>3996</v>
      </c>
      <c r="F147" s="73">
        <v>3996</v>
      </c>
      <c r="G147" s="73"/>
      <c r="H147" s="84">
        <v>1976.79</v>
      </c>
      <c r="I147" s="69">
        <f t="shared" si="1"/>
        <v>49.47</v>
      </c>
      <c r="J147" s="13"/>
      <c r="K147" s="13"/>
      <c r="L147" s="13"/>
    </row>
    <row r="148" spans="1:12" ht="37.5" customHeight="1">
      <c r="A148" s="82"/>
      <c r="B148" s="40" t="s">
        <v>156</v>
      </c>
      <c r="C148" s="58"/>
      <c r="D148" s="60" t="s">
        <v>157</v>
      </c>
      <c r="E148" s="75">
        <f t="shared" si="6"/>
        <v>36547</v>
      </c>
      <c r="F148" s="75">
        <f>F149</f>
        <v>36547</v>
      </c>
      <c r="G148" s="75" t="str">
        <f>IF(G149&gt;0,G149," ")</f>
        <v> </v>
      </c>
      <c r="H148" s="78">
        <f>SUM(H149)</f>
        <v>27076.84</v>
      </c>
      <c r="I148" s="66">
        <f t="shared" si="1"/>
        <v>74.09</v>
      </c>
      <c r="J148" s="13"/>
      <c r="K148" s="13"/>
      <c r="L148" s="13"/>
    </row>
    <row r="149" spans="1:12" ht="17.25" customHeight="1">
      <c r="A149" s="82"/>
      <c r="B149" s="57"/>
      <c r="C149" s="57" t="s">
        <v>31</v>
      </c>
      <c r="D149" s="59" t="s">
        <v>32</v>
      </c>
      <c r="E149" s="73">
        <f t="shared" si="6"/>
        <v>36547</v>
      </c>
      <c r="F149" s="73">
        <v>36547</v>
      </c>
      <c r="G149" s="73"/>
      <c r="H149" s="84">
        <v>27076.84</v>
      </c>
      <c r="I149" s="69">
        <f t="shared" si="1"/>
        <v>74.09</v>
      </c>
      <c r="J149" s="13"/>
      <c r="K149" s="13"/>
      <c r="L149" s="13"/>
    </row>
    <row r="150" spans="1:12" ht="21" customHeight="1">
      <c r="A150" s="82"/>
      <c r="B150" s="40" t="s">
        <v>158</v>
      </c>
      <c r="C150" s="58"/>
      <c r="D150" s="60" t="s">
        <v>159</v>
      </c>
      <c r="E150" s="75">
        <f>SUM(F150:G150)</f>
        <v>30</v>
      </c>
      <c r="F150" s="75">
        <f>F151</f>
        <v>30</v>
      </c>
      <c r="G150" s="75" t="str">
        <f>IF(G151&gt;0,G151," ")</f>
        <v> </v>
      </c>
      <c r="H150" s="78">
        <f>SUM(H151)</f>
        <v>12</v>
      </c>
      <c r="I150" s="66">
        <f t="shared" si="1"/>
        <v>40</v>
      </c>
      <c r="J150" s="13"/>
      <c r="K150" s="13"/>
      <c r="L150" s="13"/>
    </row>
    <row r="151" spans="1:12" ht="21" customHeight="1">
      <c r="A151" s="82"/>
      <c r="B151" s="57"/>
      <c r="C151" s="57" t="s">
        <v>31</v>
      </c>
      <c r="D151" s="59" t="s">
        <v>32</v>
      </c>
      <c r="E151" s="73">
        <f t="shared" si="6"/>
        <v>30</v>
      </c>
      <c r="F151" s="73">
        <v>30</v>
      </c>
      <c r="G151" s="73"/>
      <c r="H151" s="84">
        <v>12</v>
      </c>
      <c r="I151" s="69">
        <f t="shared" si="1"/>
        <v>40</v>
      </c>
      <c r="J151" s="13"/>
      <c r="K151" s="13"/>
      <c r="L151" s="13"/>
    </row>
    <row r="152" spans="1:12" ht="19.5" customHeight="1">
      <c r="A152" s="82"/>
      <c r="B152" s="40" t="s">
        <v>160</v>
      </c>
      <c r="C152" s="58"/>
      <c r="D152" s="60" t="s">
        <v>161</v>
      </c>
      <c r="E152" s="75">
        <f t="shared" si="6"/>
        <v>612124</v>
      </c>
      <c r="F152" s="75">
        <f>SUM(F153:F155)</f>
        <v>612124</v>
      </c>
      <c r="G152" s="75" t="str">
        <f>IF((G153+G155)&gt;0,(G153+G155)," ")</f>
        <v> </v>
      </c>
      <c r="H152" s="78">
        <f>SUM(H153:H155)</f>
        <v>333631.3</v>
      </c>
      <c r="I152" s="66">
        <f t="shared" si="1"/>
        <v>54.5</v>
      </c>
      <c r="J152" s="13"/>
      <c r="K152" s="13"/>
      <c r="L152" s="13"/>
    </row>
    <row r="153" spans="1:12" ht="18.75" customHeight="1">
      <c r="A153" s="82"/>
      <c r="B153" s="101"/>
      <c r="C153" s="57" t="s">
        <v>114</v>
      </c>
      <c r="D153" s="59" t="s">
        <v>115</v>
      </c>
      <c r="E153" s="73">
        <f t="shared" si="6"/>
        <v>438272</v>
      </c>
      <c r="F153" s="73">
        <v>438272</v>
      </c>
      <c r="G153" s="73"/>
      <c r="H153" s="84">
        <v>243614</v>
      </c>
      <c r="I153" s="69">
        <f t="shared" si="1"/>
        <v>55.59</v>
      </c>
      <c r="J153" s="13"/>
      <c r="K153" s="13"/>
      <c r="L153" s="13"/>
    </row>
    <row r="154" spans="1:12" ht="19.5" customHeight="1">
      <c r="A154" s="82"/>
      <c r="B154" s="54"/>
      <c r="C154" s="57" t="s">
        <v>43</v>
      </c>
      <c r="D154" s="59" t="s">
        <v>44</v>
      </c>
      <c r="E154" s="73">
        <f t="shared" si="6"/>
        <v>0</v>
      </c>
      <c r="F154" s="73">
        <v>0</v>
      </c>
      <c r="G154" s="73"/>
      <c r="H154" s="83">
        <v>60.1</v>
      </c>
      <c r="I154" s="69">
        <v>0</v>
      </c>
      <c r="J154" s="13"/>
      <c r="K154" s="13"/>
      <c r="L154" s="13"/>
    </row>
    <row r="155" spans="1:12" ht="18.75" customHeight="1">
      <c r="A155" s="82"/>
      <c r="B155" s="99"/>
      <c r="C155" s="57" t="s">
        <v>31</v>
      </c>
      <c r="D155" s="59" t="s">
        <v>32</v>
      </c>
      <c r="E155" s="73">
        <f t="shared" si="6"/>
        <v>173852</v>
      </c>
      <c r="F155" s="73">
        <v>173852</v>
      </c>
      <c r="G155" s="73"/>
      <c r="H155" s="83">
        <v>89957.2</v>
      </c>
      <c r="I155" s="69">
        <f t="shared" si="1"/>
        <v>51.74</v>
      </c>
      <c r="J155" s="13"/>
      <c r="K155" s="13"/>
      <c r="L155" s="13"/>
    </row>
    <row r="156" spans="1:12" ht="20.25" customHeight="1">
      <c r="A156" s="82"/>
      <c r="B156" s="40" t="s">
        <v>162</v>
      </c>
      <c r="C156" s="58"/>
      <c r="D156" s="60" t="s">
        <v>163</v>
      </c>
      <c r="E156" s="75">
        <f t="shared" si="6"/>
        <v>55311</v>
      </c>
      <c r="F156" s="75">
        <f>SUM(F157:F159)</f>
        <v>55311</v>
      </c>
      <c r="G156" s="75" t="str">
        <f>IF((G157+G158+G159)&gt;0,(G157+G158+G159)," ")</f>
        <v> </v>
      </c>
      <c r="H156" s="103">
        <f>SUM(H157:H159)</f>
        <v>44452.399999999994</v>
      </c>
      <c r="I156" s="66">
        <f t="shared" si="1"/>
        <v>80.37</v>
      </c>
      <c r="J156" s="13"/>
      <c r="K156" s="13"/>
      <c r="L156" s="13"/>
    </row>
    <row r="157" spans="1:12" ht="19.5" customHeight="1">
      <c r="A157" s="82"/>
      <c r="B157" s="101"/>
      <c r="C157" s="57" t="s">
        <v>61</v>
      </c>
      <c r="D157" s="59" t="s">
        <v>62</v>
      </c>
      <c r="E157" s="73">
        <f t="shared" si="6"/>
        <v>8100</v>
      </c>
      <c r="F157" s="73">
        <v>8100</v>
      </c>
      <c r="G157" s="73"/>
      <c r="H157" s="83">
        <v>10377</v>
      </c>
      <c r="I157" s="69">
        <f t="shared" si="1"/>
        <v>128.11</v>
      </c>
      <c r="J157" s="13"/>
      <c r="K157" s="13"/>
      <c r="L157" s="13"/>
    </row>
    <row r="158" spans="1:12" ht="18" customHeight="1">
      <c r="A158" s="82"/>
      <c r="B158" s="54"/>
      <c r="C158" s="57" t="s">
        <v>114</v>
      </c>
      <c r="D158" s="59" t="s">
        <v>115</v>
      </c>
      <c r="E158" s="73">
        <f t="shared" si="6"/>
        <v>12080</v>
      </c>
      <c r="F158" s="73">
        <v>12080</v>
      </c>
      <c r="G158" s="73"/>
      <c r="H158" s="84">
        <v>7174.99</v>
      </c>
      <c r="I158" s="69">
        <f t="shared" si="1"/>
        <v>59.4</v>
      </c>
      <c r="J158" s="13"/>
      <c r="K158" s="13"/>
      <c r="L158" s="13"/>
    </row>
    <row r="159" spans="1:12" ht="18.75" customHeight="1">
      <c r="A159" s="82"/>
      <c r="B159" s="99"/>
      <c r="C159" s="57" t="s">
        <v>31</v>
      </c>
      <c r="D159" s="59" t="s">
        <v>32</v>
      </c>
      <c r="E159" s="73">
        <f t="shared" si="6"/>
        <v>35131</v>
      </c>
      <c r="F159" s="73">
        <v>35131</v>
      </c>
      <c r="G159" s="73"/>
      <c r="H159" s="83">
        <v>26900.41</v>
      </c>
      <c r="I159" s="69">
        <f t="shared" si="1"/>
        <v>76.57</v>
      </c>
      <c r="J159" s="13"/>
      <c r="K159" s="13"/>
      <c r="L159" s="13"/>
    </row>
    <row r="160" spans="1:12" ht="18.75" customHeight="1">
      <c r="A160" s="82"/>
      <c r="B160" s="54" t="s">
        <v>186</v>
      </c>
      <c r="C160" s="57"/>
      <c r="D160" s="60" t="s">
        <v>187</v>
      </c>
      <c r="E160" s="75">
        <f t="shared" si="6"/>
        <v>65048</v>
      </c>
      <c r="F160" s="75">
        <f>SUM(F161:F162)</f>
        <v>65048</v>
      </c>
      <c r="G160" s="73"/>
      <c r="H160" s="78">
        <f>SUM(H161:H162)</f>
        <v>44620.47</v>
      </c>
      <c r="I160" s="66">
        <f t="shared" si="1"/>
        <v>68.6</v>
      </c>
      <c r="J160" s="13"/>
      <c r="K160" s="13"/>
      <c r="L160" s="13"/>
    </row>
    <row r="161" spans="1:12" ht="20.25" customHeight="1">
      <c r="A161" s="97"/>
      <c r="B161" s="77"/>
      <c r="C161" s="57" t="s">
        <v>61</v>
      </c>
      <c r="D161" s="94" t="s">
        <v>62</v>
      </c>
      <c r="E161" s="73">
        <f t="shared" si="6"/>
        <v>65000</v>
      </c>
      <c r="F161" s="73">
        <v>65000</v>
      </c>
      <c r="G161" s="73"/>
      <c r="H161" s="83">
        <v>44300</v>
      </c>
      <c r="I161" s="69">
        <f t="shared" si="1"/>
        <v>68.15</v>
      </c>
      <c r="J161" s="13"/>
      <c r="K161" s="13"/>
      <c r="L161" s="13"/>
    </row>
    <row r="162" spans="1:12" ht="18.75" customHeight="1">
      <c r="A162" s="32"/>
      <c r="B162" s="24"/>
      <c r="C162" s="57" t="s">
        <v>31</v>
      </c>
      <c r="D162" s="94" t="s">
        <v>32</v>
      </c>
      <c r="E162" s="73">
        <f t="shared" si="6"/>
        <v>48</v>
      </c>
      <c r="F162" s="73">
        <v>48</v>
      </c>
      <c r="G162" s="73"/>
      <c r="H162" s="83">
        <v>320.47</v>
      </c>
      <c r="I162" s="69">
        <f t="shared" si="1"/>
        <v>667.65</v>
      </c>
      <c r="J162" s="13"/>
      <c r="K162" s="13"/>
      <c r="L162" s="13"/>
    </row>
    <row r="163" spans="1:12" ht="38.25" customHeight="1">
      <c r="A163" s="45" t="s">
        <v>164</v>
      </c>
      <c r="B163" s="45"/>
      <c r="C163" s="45"/>
      <c r="D163" s="76" t="s">
        <v>165</v>
      </c>
      <c r="E163" s="61">
        <f>SUM(F163:G163)</f>
        <v>300500</v>
      </c>
      <c r="F163" s="61">
        <f>F164</f>
        <v>300500</v>
      </c>
      <c r="G163" s="61"/>
      <c r="H163" s="62">
        <f>SUM(H164)</f>
        <v>197768.43</v>
      </c>
      <c r="I163" s="63">
        <f t="shared" si="1"/>
        <v>65.81</v>
      </c>
      <c r="J163" s="33" t="e">
        <f>IF(#REF!&gt;0,#REF!," ")</f>
        <v>#REF!</v>
      </c>
      <c r="K163" s="13"/>
      <c r="L163" s="13"/>
    </row>
    <row r="164" spans="1:12" ht="37.5" customHeight="1">
      <c r="A164" s="86"/>
      <c r="B164" s="50" t="s">
        <v>179</v>
      </c>
      <c r="C164" s="50"/>
      <c r="D164" s="115" t="s">
        <v>180</v>
      </c>
      <c r="E164" s="64">
        <f>F164</f>
        <v>300500</v>
      </c>
      <c r="F164" s="64">
        <f>F165+F166</f>
        <v>300500</v>
      </c>
      <c r="G164" s="64"/>
      <c r="H164" s="116">
        <f>SUM(H165:H166)</f>
        <v>197768.43</v>
      </c>
      <c r="I164" s="66">
        <f t="shared" si="1"/>
        <v>65.81</v>
      </c>
      <c r="J164" s="34"/>
      <c r="K164" s="13"/>
      <c r="L164" s="13"/>
    </row>
    <row r="165" spans="1:12" ht="37.5" customHeight="1">
      <c r="A165" s="90"/>
      <c r="B165" s="86"/>
      <c r="C165" s="52" t="s">
        <v>81</v>
      </c>
      <c r="D165" s="94" t="s">
        <v>82</v>
      </c>
      <c r="E165" s="117">
        <f>F165</f>
        <v>500</v>
      </c>
      <c r="F165" s="117">
        <v>500</v>
      </c>
      <c r="G165" s="118"/>
      <c r="H165" s="119">
        <v>793.1</v>
      </c>
      <c r="I165" s="69">
        <f t="shared" si="1"/>
        <v>158.62</v>
      </c>
      <c r="J165" s="34"/>
      <c r="K165" s="13"/>
      <c r="L165" s="13"/>
    </row>
    <row r="166" spans="1:12" ht="21.75" customHeight="1">
      <c r="A166" s="90"/>
      <c r="B166" s="93"/>
      <c r="C166" s="52" t="s">
        <v>61</v>
      </c>
      <c r="D166" s="94" t="s">
        <v>62</v>
      </c>
      <c r="E166" s="117">
        <f>F166</f>
        <v>300000</v>
      </c>
      <c r="F166" s="117">
        <v>300000</v>
      </c>
      <c r="G166" s="118"/>
      <c r="H166" s="120">
        <v>196975.33</v>
      </c>
      <c r="I166" s="69">
        <f t="shared" si="1"/>
        <v>65.66</v>
      </c>
      <c r="J166" s="34"/>
      <c r="K166" s="13"/>
      <c r="L166" s="13"/>
    </row>
    <row r="167" spans="1:12" ht="37.5" customHeight="1">
      <c r="A167" s="45" t="s">
        <v>166</v>
      </c>
      <c r="B167" s="45"/>
      <c r="C167" s="45"/>
      <c r="D167" s="140" t="s">
        <v>167</v>
      </c>
      <c r="E167" s="61">
        <f>SUM(F167:G167)</f>
        <v>1001</v>
      </c>
      <c r="F167" s="61">
        <f>F168</f>
        <v>1001</v>
      </c>
      <c r="G167" s="61"/>
      <c r="H167" s="80">
        <f>H168</f>
        <v>700</v>
      </c>
      <c r="I167" s="63">
        <f t="shared" si="1"/>
        <v>69.93</v>
      </c>
      <c r="J167" s="17" t="e">
        <f>IF(#REF!&gt;0,#REF!," ")</f>
        <v>#REF!</v>
      </c>
      <c r="K167" s="13"/>
      <c r="L167" s="13"/>
    </row>
    <row r="168" spans="1:12" ht="18.75" customHeight="1">
      <c r="A168" s="86"/>
      <c r="B168" s="50" t="s">
        <v>168</v>
      </c>
      <c r="C168" s="50"/>
      <c r="D168" s="115" t="s">
        <v>149</v>
      </c>
      <c r="E168" s="118">
        <f>F168</f>
        <v>1001</v>
      </c>
      <c r="F168" s="118">
        <f>F169</f>
        <v>1001</v>
      </c>
      <c r="G168" s="118"/>
      <c r="H168" s="121">
        <f>H169</f>
        <v>700</v>
      </c>
      <c r="I168" s="66">
        <f t="shared" si="1"/>
        <v>69.93</v>
      </c>
      <c r="J168" s="34"/>
      <c r="K168" s="13"/>
      <c r="L168" s="13"/>
    </row>
    <row r="169" spans="1:12" ht="56.25" customHeight="1">
      <c r="A169" s="55"/>
      <c r="B169" s="55"/>
      <c r="C169" s="148" t="s">
        <v>177</v>
      </c>
      <c r="D169" s="122" t="s">
        <v>106</v>
      </c>
      <c r="E169" s="73">
        <f>SUM(F169)</f>
        <v>1001</v>
      </c>
      <c r="F169" s="73">
        <v>1001</v>
      </c>
      <c r="G169" s="73"/>
      <c r="H169" s="83">
        <v>700</v>
      </c>
      <c r="I169" s="69">
        <f t="shared" si="1"/>
        <v>69.93</v>
      </c>
      <c r="J169" s="13"/>
      <c r="K169" s="13"/>
      <c r="L169" s="13"/>
    </row>
    <row r="170" spans="1:12" ht="25.5" customHeight="1">
      <c r="A170" s="141" t="s">
        <v>209</v>
      </c>
      <c r="B170" s="142"/>
      <c r="C170" s="141"/>
      <c r="D170" s="143" t="s">
        <v>212</v>
      </c>
      <c r="E170" s="144">
        <f>SUM(E171:E172)</f>
        <v>0</v>
      </c>
      <c r="F170" s="144">
        <f>SUM(F171:F172)</f>
        <v>0</v>
      </c>
      <c r="G170" s="144"/>
      <c r="H170" s="145">
        <f>H171</f>
        <v>853.08</v>
      </c>
      <c r="I170" s="146">
        <v>0</v>
      </c>
      <c r="J170" s="35"/>
      <c r="K170" s="13"/>
      <c r="L170" s="13"/>
    </row>
    <row r="171" spans="1:12" ht="21.75" customHeight="1">
      <c r="A171" s="97"/>
      <c r="B171" s="58" t="s">
        <v>210</v>
      </c>
      <c r="C171" s="58"/>
      <c r="D171" s="122" t="s">
        <v>213</v>
      </c>
      <c r="E171" s="75">
        <v>0</v>
      </c>
      <c r="F171" s="75">
        <v>0</v>
      </c>
      <c r="G171" s="73"/>
      <c r="H171" s="78">
        <f>SUM(H172)</f>
        <v>853.08</v>
      </c>
      <c r="I171" s="69">
        <v>0</v>
      </c>
      <c r="J171" s="13"/>
      <c r="K171" s="13"/>
      <c r="L171" s="13"/>
    </row>
    <row r="172" spans="1:12" ht="96.75" customHeight="1">
      <c r="A172" s="137"/>
      <c r="B172" s="99"/>
      <c r="C172" s="147" t="s">
        <v>211</v>
      </c>
      <c r="D172" s="122" t="s">
        <v>214</v>
      </c>
      <c r="E172" s="73">
        <v>0</v>
      </c>
      <c r="F172" s="73">
        <v>0</v>
      </c>
      <c r="G172" s="73"/>
      <c r="H172" s="83">
        <v>853.08</v>
      </c>
      <c r="I172" s="69">
        <v>0</v>
      </c>
      <c r="J172" s="13"/>
      <c r="K172" s="13"/>
      <c r="L172" s="13"/>
    </row>
    <row r="173" spans="1:12" ht="19.5" customHeight="1">
      <c r="A173" s="15" t="s">
        <v>173</v>
      </c>
      <c r="B173" s="130" t="s">
        <v>174</v>
      </c>
      <c r="C173" s="130" t="s">
        <v>175</v>
      </c>
      <c r="D173" s="130" t="s">
        <v>176</v>
      </c>
      <c r="E173" s="43">
        <v>5</v>
      </c>
      <c r="F173" s="43">
        <v>6</v>
      </c>
      <c r="G173" s="43">
        <v>7</v>
      </c>
      <c r="H173" s="43">
        <v>8</v>
      </c>
      <c r="I173" s="135">
        <v>9</v>
      </c>
      <c r="J173" s="13"/>
      <c r="K173" s="13"/>
      <c r="L173" s="13"/>
    </row>
    <row r="174" spans="1:12" ht="30" customHeight="1">
      <c r="A174" s="87"/>
      <c r="B174" s="123"/>
      <c r="C174" s="124"/>
      <c r="D174" s="114" t="s">
        <v>169</v>
      </c>
      <c r="E174" s="61">
        <f>SUM(F174:G174)</f>
        <v>62058558</v>
      </c>
      <c r="F174" s="61">
        <f>F15+F22+F25+F30+F38+F53+F68+F74+F84+F93+F108+F111+F131+F143+F163+F167</f>
        <v>60042961</v>
      </c>
      <c r="G174" s="61">
        <f>G15+G22+G25+G30+G38+G53+G68+G74+G84+G93+G108+G111+G131+G143+G163+G167</f>
        <v>2015597</v>
      </c>
      <c r="H174" s="80">
        <f>H15+H22+H25+H30+H38+H53+H68+H74+H84+H93+H108+H111+H131+H143+H163+H167+H170</f>
        <v>34235159.33</v>
      </c>
      <c r="I174" s="63">
        <f t="shared" si="1"/>
        <v>55.17</v>
      </c>
      <c r="J174" s="13"/>
      <c r="K174" s="13"/>
      <c r="L174" s="13"/>
    </row>
    <row r="175" spans="1:12" ht="75.75" customHeight="1">
      <c r="A175" s="25"/>
      <c r="B175" s="36"/>
      <c r="C175" s="50" t="s">
        <v>181</v>
      </c>
      <c r="D175" s="122" t="s">
        <v>194</v>
      </c>
      <c r="E175" s="67">
        <f>SUM(F175:G175)</f>
        <v>619913</v>
      </c>
      <c r="F175" s="73">
        <f>IF((SUMIF($C$15:$C$174,2007,$F$15:$F$174))&gt;0,(SUMIF($C$15:$C$174,2007,$F$15:$F$174))," ")</f>
        <v>619913</v>
      </c>
      <c r="G175" s="64"/>
      <c r="H175" s="125">
        <f>H141</f>
        <v>199240.75</v>
      </c>
      <c r="I175" s="69">
        <f t="shared" si="1"/>
        <v>32.14</v>
      </c>
      <c r="J175" s="13"/>
      <c r="K175" s="13"/>
      <c r="L175" s="13"/>
    </row>
    <row r="176" spans="1:12" ht="79.5" customHeight="1">
      <c r="A176" s="26"/>
      <c r="B176" s="23"/>
      <c r="C176" s="58" t="s">
        <v>150</v>
      </c>
      <c r="D176" s="122" t="s">
        <v>194</v>
      </c>
      <c r="E176" s="73">
        <f>SUM(F176:G176)</f>
        <v>131040</v>
      </c>
      <c r="F176" s="73">
        <f>IF((SUMIF($C$15:$C$174,2008,$F$15:$F$174))&gt;0,(SUMIF($C$15:$C$174,2008,$F$15:$F$174))," ")</f>
        <v>131040</v>
      </c>
      <c r="G176" s="73" t="str">
        <f>IF((SUMIF($C$15:$C$174,2008,$G$15:$G$174))&gt;0,(SUMIF($C$15:$C$174,2008,$G$15:$G$174))," ")</f>
        <v> </v>
      </c>
      <c r="H176" s="83">
        <f>H57</f>
        <v>46121.69</v>
      </c>
      <c r="I176" s="69">
        <f t="shared" si="1"/>
        <v>35.2</v>
      </c>
      <c r="J176" s="13"/>
      <c r="K176" s="13"/>
      <c r="L176" s="13"/>
    </row>
    <row r="177" spans="1:12" ht="81.75" customHeight="1">
      <c r="A177" s="26"/>
      <c r="B177" s="23"/>
      <c r="C177" s="58" t="s">
        <v>151</v>
      </c>
      <c r="D177" s="122" t="s">
        <v>194</v>
      </c>
      <c r="E177" s="73">
        <f t="shared" si="6"/>
        <v>45691</v>
      </c>
      <c r="F177" s="73">
        <f>IF((SUMIF($C$15:$C$174,2009,$F$15:$F$174))&gt;0,(SUMIF($C$15:$C$174,2009,$F$15:$F$174))," ")</f>
        <v>45691</v>
      </c>
      <c r="G177" s="73" t="str">
        <f>IF((SUMIF($C$15:$C$174,2009,$G$15:$G$174))&gt;0,(SUMIF($C$15:$C$174,2009,$G$15:$G$174))," ")</f>
        <v> </v>
      </c>
      <c r="H177" s="84">
        <f>H142+H58</f>
        <v>19515.78</v>
      </c>
      <c r="I177" s="69">
        <f t="shared" si="1"/>
        <v>42.71</v>
      </c>
      <c r="J177" s="13"/>
      <c r="K177" s="13"/>
      <c r="L177" s="13"/>
    </row>
    <row r="178" spans="1:12" ht="60" customHeight="1">
      <c r="A178" s="26"/>
      <c r="B178" s="23"/>
      <c r="C178" s="58" t="s">
        <v>13</v>
      </c>
      <c r="D178" s="122" t="s">
        <v>14</v>
      </c>
      <c r="E178" s="73">
        <f t="shared" si="6"/>
        <v>6439859</v>
      </c>
      <c r="F178" s="73">
        <f>IF((SUMIF($C$15:$C$174,2110,$F$15:$F$174))&gt;0,(SUMIF($C$15:$C$174,2110,$F$15:$F$174))," ")</f>
        <v>6439859</v>
      </c>
      <c r="G178" s="73" t="str">
        <f>IF((SUMIF($C$15:$C$174,2110,$G$15:$G$174))&gt;0,(SUMIF($C$15:$C$174,2110,$G$15:$G$174))," ")</f>
        <v> </v>
      </c>
      <c r="H178" s="83">
        <f>H17+H32+H45+H49+H51+H55+H66+H70+H110+H133+H21</f>
        <v>3782762</v>
      </c>
      <c r="I178" s="69">
        <f t="shared" si="1"/>
        <v>58.74</v>
      </c>
      <c r="J178" s="13"/>
      <c r="K178" s="13"/>
      <c r="L178" s="13"/>
    </row>
    <row r="179" spans="1:12" ht="57" customHeight="1">
      <c r="A179" s="26"/>
      <c r="B179" s="23"/>
      <c r="C179" s="58" t="s">
        <v>65</v>
      </c>
      <c r="D179" s="122" t="s">
        <v>66</v>
      </c>
      <c r="E179" s="73">
        <f t="shared" si="6"/>
        <v>6000</v>
      </c>
      <c r="F179" s="73">
        <f>IF((SUMIF($C$15:$C$174,2120,$F$15:$F$174))&gt;0,(SUMIF($C$15:$C$174,2120,$F$15:$F$174))," ")</f>
        <v>6000</v>
      </c>
      <c r="G179" s="73" t="str">
        <f>IF((SUMIF($C$15:$C$174,2120,$G$15:$G$174))&gt;0,(SUMIF($C$15:$C$174,2120,$G$15:$G$174))," ")</f>
        <v> </v>
      </c>
      <c r="H179" s="84">
        <f>H67+H129</f>
        <v>6000</v>
      </c>
      <c r="I179" s="69">
        <f t="shared" si="1"/>
        <v>100</v>
      </c>
      <c r="J179" s="13"/>
      <c r="K179" s="13"/>
      <c r="L179" s="13"/>
    </row>
    <row r="180" spans="1:12" ht="37.5" customHeight="1">
      <c r="A180" s="26"/>
      <c r="B180" s="23"/>
      <c r="C180" s="58" t="s">
        <v>128</v>
      </c>
      <c r="D180" s="122" t="s">
        <v>129</v>
      </c>
      <c r="E180" s="73">
        <f t="shared" si="6"/>
        <v>489880</v>
      </c>
      <c r="F180" s="73">
        <f>IF((SUMIF($C$15:$C$174,2130,$F$15:$F$174))&gt;0,(SUMIF($C$15:$C$174,2130,$F$15:$F$174))," ")</f>
        <v>489880</v>
      </c>
      <c r="G180" s="73" t="str">
        <f>IF((SUMIF($C$15:$C$174,2130,$G$15:$G$174))&gt;0,(SUMIF($C$15:$C$174,2130,$G$15:$G$174))," ")</f>
        <v> </v>
      </c>
      <c r="H180" s="83">
        <v>254084</v>
      </c>
      <c r="I180" s="69">
        <v>51.87</v>
      </c>
      <c r="J180" s="13"/>
      <c r="K180" s="13"/>
      <c r="L180" s="13"/>
    </row>
    <row r="181" spans="1:12" ht="55.5" customHeight="1">
      <c r="A181" s="26"/>
      <c r="B181" s="23"/>
      <c r="C181" s="58" t="s">
        <v>109</v>
      </c>
      <c r="D181" s="122" t="s">
        <v>110</v>
      </c>
      <c r="E181" s="73">
        <f t="shared" si="6"/>
        <v>63589</v>
      </c>
      <c r="F181" s="73">
        <f>IF((SUMIF($C$15:$C$174,2310,$F$15:$F$174))&gt;0,(SUMIF($C$15:$C$174,2310,$F$15:$F$174))," ")</f>
        <v>63589</v>
      </c>
      <c r="G181" s="73" t="str">
        <f>IF((SUMIF($C$15:$C$174,2310,$G$15:$G$174))&gt;0,(SUMIF($C$15:$C$174,2310,$G$15:$G$174))," ")</f>
        <v> </v>
      </c>
      <c r="H181" s="84">
        <f>H103</f>
        <v>0</v>
      </c>
      <c r="I181" s="69">
        <f t="shared" si="1"/>
        <v>0</v>
      </c>
      <c r="J181" s="13"/>
      <c r="K181" s="13"/>
      <c r="L181" s="13"/>
    </row>
    <row r="182" spans="1:12" ht="55.5" customHeight="1">
      <c r="A182" s="26"/>
      <c r="B182" s="23"/>
      <c r="C182" s="58" t="s">
        <v>124</v>
      </c>
      <c r="D182" s="122" t="s">
        <v>125</v>
      </c>
      <c r="E182" s="73">
        <f t="shared" si="6"/>
        <v>1211533</v>
      </c>
      <c r="F182" s="73">
        <f>IF((SUMIF($C$15:$C$174,2320,$F$15:$F$174))&gt;0,(SUMIF($C$15:$C$174,2320,$F$15:$F$174))," ")</f>
        <v>1211533</v>
      </c>
      <c r="G182" s="73" t="str">
        <f>IF((SUMIF($C$15:$C$174,2320,$G$15:$G$174))&gt;0,(SUMIF($C$15:$C$174,2320,$G$15:$G$174))," ")</f>
        <v> </v>
      </c>
      <c r="H182" s="83">
        <f>H115+H123</f>
        <v>611275.12</v>
      </c>
      <c r="I182" s="69">
        <f t="shared" si="1"/>
        <v>50.45</v>
      </c>
      <c r="J182" s="13"/>
      <c r="K182" s="13"/>
      <c r="L182" s="13"/>
    </row>
    <row r="183" spans="1:12" ht="93.75" customHeight="1">
      <c r="A183" s="26"/>
      <c r="B183" s="23"/>
      <c r="C183" s="58" t="s">
        <v>211</v>
      </c>
      <c r="D183" s="122" t="s">
        <v>214</v>
      </c>
      <c r="E183" s="73">
        <v>0</v>
      </c>
      <c r="F183" s="73">
        <v>0</v>
      </c>
      <c r="G183" s="73"/>
      <c r="H183" s="84">
        <f>H172</f>
        <v>853.08</v>
      </c>
      <c r="I183" s="69">
        <v>0</v>
      </c>
      <c r="J183" s="13"/>
      <c r="K183" s="13"/>
      <c r="L183" s="13"/>
    </row>
    <row r="184" spans="1:12" ht="21.75" customHeight="1">
      <c r="A184" s="26"/>
      <c r="B184" s="23"/>
      <c r="C184" s="58" t="s">
        <v>93</v>
      </c>
      <c r="D184" s="122" t="s">
        <v>94</v>
      </c>
      <c r="E184" s="73">
        <f t="shared" si="6"/>
        <v>37066309</v>
      </c>
      <c r="F184" s="73">
        <f>IF((SUMIF($C$15:$C$174,2920,$F$15:$F$174))&gt;0,(SUMIF($C$15:$C$174,2920,$F$15:$F$174))," ")</f>
        <v>37066309</v>
      </c>
      <c r="G184" s="73" t="str">
        <f>IF((SUMIF($C$15:$C$174,2920,$G$15:$G$174))&gt;0,(SUMIF($C$15:$C$174,2920,$G$15:$G$174))," ")</f>
        <v> </v>
      </c>
      <c r="H184" s="74">
        <f>H85+H87+H91</f>
        <v>22013722</v>
      </c>
      <c r="I184" s="69">
        <f t="shared" si="1"/>
        <v>59.39</v>
      </c>
      <c r="J184" s="13"/>
      <c r="K184" s="13"/>
      <c r="L184" s="13"/>
    </row>
    <row r="185" spans="1:12" ht="77.25" customHeight="1">
      <c r="A185" s="26"/>
      <c r="B185" s="23"/>
      <c r="C185" s="58" t="s">
        <v>198</v>
      </c>
      <c r="D185" s="122" t="s">
        <v>178</v>
      </c>
      <c r="E185" s="73">
        <f t="shared" si="6"/>
        <v>466597</v>
      </c>
      <c r="F185" s="73" t="str">
        <f>IF((SUMIF($C$15:$C$174,6208,$F$15:$F$174))&gt;0,(SUMIF($C$15:$C$174,6208,$F$15:$F$174))," ")</f>
        <v> </v>
      </c>
      <c r="G185" s="73">
        <v>466597</v>
      </c>
      <c r="H185" s="126">
        <f>H29</f>
        <v>440725.59</v>
      </c>
      <c r="I185" s="69">
        <f t="shared" si="1"/>
        <v>94.46</v>
      </c>
      <c r="J185" s="13"/>
      <c r="K185" s="13"/>
      <c r="L185" s="13"/>
    </row>
    <row r="186" spans="1:12" ht="58.5" customHeight="1">
      <c r="A186" s="26"/>
      <c r="B186" s="23"/>
      <c r="C186" s="58" t="s">
        <v>71</v>
      </c>
      <c r="D186" s="127" t="s">
        <v>72</v>
      </c>
      <c r="E186" s="73">
        <f t="shared" si="6"/>
        <v>160000</v>
      </c>
      <c r="F186" s="73" t="str">
        <f>IF((SUMIF($C$15:$C$174,6410,$F$15:$F$174))&gt;0,(SUMIF($C$15:$C$174,6410,$F$15:$F$174))," ")</f>
        <v> </v>
      </c>
      <c r="G186" s="73">
        <f>IF((SUMIF($C$15:$C$174,6410,$G$15:$G$174))&gt;0,(SUMIF($C$15:$C$174,6410,$G$15:$G$174))," ")</f>
        <v>160000</v>
      </c>
      <c r="H186" s="83">
        <f>H73</f>
        <v>0</v>
      </c>
      <c r="I186" s="69">
        <f t="shared" si="1"/>
        <v>0</v>
      </c>
      <c r="J186" s="13"/>
      <c r="K186" s="13"/>
      <c r="L186" s="13"/>
    </row>
    <row r="187" spans="1:12" ht="20.25" customHeight="1">
      <c r="A187" s="26"/>
      <c r="B187" s="23"/>
      <c r="C187" s="58"/>
      <c r="D187" s="59" t="s">
        <v>170</v>
      </c>
      <c r="E187" s="73">
        <f>SUM(F187:G187)</f>
        <v>833209</v>
      </c>
      <c r="F187" s="73">
        <f>SUMIF($C$15:$C$174,2460,$F$15:$F$174)+SUMIF($C$15:$C$174,2707,$F$15:$F$174)+SUMIF($C$15:$C$174,2690,$F$15:$F$174)+SUMIF($C$15:$C$174,2700,$F$15:$F$174)</f>
        <v>833209</v>
      </c>
      <c r="G187" s="73"/>
      <c r="H187" s="83">
        <f>H24+H97+H135+H169</f>
        <v>413747.72</v>
      </c>
      <c r="I187" s="69">
        <f t="shared" si="1"/>
        <v>49.66</v>
      </c>
      <c r="J187" s="13"/>
      <c r="K187" s="13"/>
      <c r="L187" s="13"/>
    </row>
    <row r="188" spans="1:12" ht="21.75" customHeight="1">
      <c r="A188" s="32"/>
      <c r="B188" s="27"/>
      <c r="C188" s="58"/>
      <c r="D188" s="59" t="s">
        <v>171</v>
      </c>
      <c r="E188" s="73">
        <f>SUM(F188:G188)</f>
        <v>14524938</v>
      </c>
      <c r="F188" s="73">
        <v>13135938</v>
      </c>
      <c r="G188" s="73">
        <f>SUMIF($C$15:$C$174,2360,$G$15:$G$174)+SUMIF($C$15:$C$174,870,$G$15:$G$174)+SUMIF($C$15:$C$174,970,$G$15:$G$174)+SUMIF($C$15:$C$174,750,$G$15:$G$174)+SUMIF($C$15:$C$174,470,$G$15:$G$174)+SUMIF($C$15:$C$174,470,$G$15:$G$174)+SUMIF($C$15:$C$174,770,$G$15:$G$174)+SUMIF($C$15:$C$174,920,$G$15:$G$174)+SUMIF($C$15:$C$174,690,$G$15:$G$174)+SUMIF($C$15:$C$174,2380,$G$15:$G$174)+SUMIF($C$15:$C$174,420,$G$15:$G$174)+SUMIF($C$15:$C$174,490,$G$15:$G$174)+SUMIF($C$15:$C$174,580,$G$15:$G$174)+SUMIF($C$15:$C$174,10,$G$15:$G$174)+SUMIF($C$15:$C$174,20,$G$15:$G$174)</f>
        <v>1389000</v>
      </c>
      <c r="H188" s="128">
        <f>H19+H27+H28+H33+H34+H35+H36+H37+H52+H59+H71+H72+H75+H80+H90+H96+H99+H101+H102+H105+H114+H118+H120+H122+H127+H129+H137+H139+H144+H149+H151+H152+H156+H160+H164+H107+H113+H95+H46+H39+H100+H119</f>
        <v>6447111.6</v>
      </c>
      <c r="I188" s="69">
        <f t="shared" si="1"/>
        <v>44.39</v>
      </c>
      <c r="J188" s="37">
        <f>SUM(E175:E188)</f>
        <v>62058558</v>
      </c>
      <c r="K188" s="37">
        <f>SUM(F175:F188)</f>
        <v>60042961</v>
      </c>
      <c r="L188" s="37">
        <f>SUM(G176:G188)</f>
        <v>2015597</v>
      </c>
    </row>
    <row r="189" spans="1:12" ht="15.75">
      <c r="A189" s="29"/>
      <c r="B189" s="29"/>
      <c r="C189" s="29"/>
      <c r="D189" s="38"/>
      <c r="E189" s="39"/>
      <c r="F189" s="39"/>
      <c r="G189" s="39"/>
      <c r="H189" s="39"/>
      <c r="I189" s="39"/>
      <c r="J189" s="13" t="str">
        <f>IF(J188=E174,"OK.","BŁĄD")</f>
        <v>OK.</v>
      </c>
      <c r="K189" s="13" t="str">
        <f>IF(K188=F174,"OK.","BŁĄD")</f>
        <v>OK.</v>
      </c>
      <c r="L189" s="13" t="str">
        <f>IF(L188=G174,"OK.","BŁĄD")</f>
        <v>OK.</v>
      </c>
    </row>
    <row r="190" spans="1:12" ht="12.75">
      <c r="A190" s="4"/>
      <c r="B190" s="4"/>
      <c r="C190" s="4"/>
      <c r="D190" s="5"/>
      <c r="E190" s="6"/>
      <c r="F190" s="6"/>
      <c r="G190" s="6"/>
      <c r="H190" s="6"/>
      <c r="I190" s="6"/>
      <c r="J190" s="3"/>
      <c r="K190" s="3"/>
      <c r="L190" s="3"/>
    </row>
    <row r="191" spans="1:12" ht="12.75">
      <c r="A191" s="4"/>
      <c r="B191" s="4"/>
      <c r="C191" s="4"/>
      <c r="D191" s="5"/>
      <c r="E191" s="6"/>
      <c r="F191" s="6"/>
      <c r="G191" s="6"/>
      <c r="H191" s="6"/>
      <c r="I191" s="6"/>
      <c r="J191" s="3"/>
      <c r="K191" s="3"/>
      <c r="L191" s="3"/>
    </row>
    <row r="192" spans="1:12" ht="15">
      <c r="A192" s="4"/>
      <c r="B192" s="4"/>
      <c r="C192" s="4"/>
      <c r="D192" s="7"/>
      <c r="E192" s="8" t="s">
        <v>184</v>
      </c>
      <c r="F192" s="8"/>
      <c r="G192" s="6"/>
      <c r="H192" s="6"/>
      <c r="I192" s="6"/>
      <c r="J192" s="3"/>
      <c r="K192" s="3"/>
      <c r="L192" s="3"/>
    </row>
    <row r="193" spans="1:12" ht="15">
      <c r="A193" s="4"/>
      <c r="B193" s="4"/>
      <c r="C193" s="4"/>
      <c r="D193" s="7" t="s">
        <v>184</v>
      </c>
      <c r="E193" s="8" t="s">
        <v>184</v>
      </c>
      <c r="F193" s="8"/>
      <c r="G193" s="6"/>
      <c r="H193" s="6"/>
      <c r="I193" s="6"/>
      <c r="J193" s="3"/>
      <c r="K193" s="3"/>
      <c r="L193" s="3"/>
    </row>
    <row r="194" spans="1:12" ht="15">
      <c r="A194" s="4"/>
      <c r="B194" s="4"/>
      <c r="C194" s="4"/>
      <c r="D194" s="7"/>
      <c r="E194" s="8" t="s">
        <v>172</v>
      </c>
      <c r="F194" s="8"/>
      <c r="G194" s="6"/>
      <c r="H194" s="6"/>
      <c r="I194" s="6"/>
      <c r="J194" s="3"/>
      <c r="K194" s="3"/>
      <c r="L194" s="3"/>
    </row>
    <row r="195" spans="1:12" ht="15">
      <c r="A195" s="4"/>
      <c r="B195" s="4"/>
      <c r="C195" s="4"/>
      <c r="D195" s="7" t="s">
        <v>184</v>
      </c>
      <c r="E195" s="8" t="s">
        <v>184</v>
      </c>
      <c r="F195" s="8"/>
      <c r="G195" s="6"/>
      <c r="H195" s="6"/>
      <c r="I195" s="6"/>
      <c r="J195" s="3"/>
      <c r="K195" s="3"/>
      <c r="L195" s="3"/>
    </row>
    <row r="196" spans="1:12" ht="15">
      <c r="A196" s="4"/>
      <c r="B196" s="4"/>
      <c r="C196" s="4"/>
      <c r="D196" s="7"/>
      <c r="E196" s="8" t="s">
        <v>184</v>
      </c>
      <c r="F196" s="8"/>
      <c r="G196" s="6"/>
      <c r="H196" s="6"/>
      <c r="I196" s="6"/>
      <c r="J196" s="3"/>
      <c r="K196" s="3"/>
      <c r="L196" s="3"/>
    </row>
    <row r="197" spans="1:12" ht="12.75">
      <c r="A197" s="4"/>
      <c r="B197" s="4"/>
      <c r="C197" s="4"/>
      <c r="D197" s="5"/>
      <c r="E197" s="6"/>
      <c r="F197" s="6"/>
      <c r="G197" s="6"/>
      <c r="H197" s="6"/>
      <c r="I197" s="6"/>
      <c r="J197" s="3"/>
      <c r="K197" s="3"/>
      <c r="L197" s="3"/>
    </row>
    <row r="198" spans="1:12" ht="12.75">
      <c r="A198" s="4"/>
      <c r="B198" s="4"/>
      <c r="C198" s="4"/>
      <c r="D198" s="5"/>
      <c r="E198" s="6"/>
      <c r="F198" s="6"/>
      <c r="G198" s="6"/>
      <c r="H198" s="6"/>
      <c r="I198" s="6"/>
      <c r="J198" s="3"/>
      <c r="K198" s="3"/>
      <c r="L198" s="3"/>
    </row>
    <row r="199" spans="1:12" ht="12.75">
      <c r="A199" s="4"/>
      <c r="B199" s="4"/>
      <c r="C199" s="4"/>
      <c r="D199" s="5"/>
      <c r="E199" s="6"/>
      <c r="F199" s="6"/>
      <c r="G199" s="6"/>
      <c r="H199" s="6"/>
      <c r="I199" s="6"/>
      <c r="J199" s="3"/>
      <c r="K199" s="3"/>
      <c r="L199" s="3"/>
    </row>
    <row r="200" spans="1:12" ht="12.75">
      <c r="A200" s="4"/>
      <c r="B200" s="4"/>
      <c r="C200" s="4"/>
      <c r="D200" s="5"/>
      <c r="E200" s="6"/>
      <c r="F200" s="6"/>
      <c r="G200" s="6"/>
      <c r="H200" s="6"/>
      <c r="I200" s="6"/>
      <c r="J200" s="3"/>
      <c r="K200" s="3"/>
      <c r="L200" s="3"/>
    </row>
  </sheetData>
  <sheetProtection/>
  <mergeCells count="17">
    <mergeCell ref="B11:B13"/>
    <mergeCell ref="C11:C13"/>
    <mergeCell ref="D11:D13"/>
    <mergeCell ref="A8:I8"/>
    <mergeCell ref="E11:G11"/>
    <mergeCell ref="E12:E13"/>
    <mergeCell ref="F12:G12"/>
    <mergeCell ref="A11:A13"/>
    <mergeCell ref="A7:I7"/>
    <mergeCell ref="A6:I6"/>
    <mergeCell ref="A10:G10"/>
    <mergeCell ref="A1:E5"/>
    <mergeCell ref="F1:G1"/>
    <mergeCell ref="F2:G2"/>
    <mergeCell ref="F3:G3"/>
    <mergeCell ref="F4:G4"/>
    <mergeCell ref="F5:G5"/>
  </mergeCells>
  <printOptions/>
  <pageMargins left="0.4724409448818898" right="0.3937007874015748" top="0.5905511811023623" bottom="0.5905511811023623" header="0.5118110236220472" footer="0.31496062992125984"/>
  <pageSetup firstPageNumber="50" useFirstPageNumber="1" horizontalDpi="600" verticalDpi="600" orientation="portrait" paperSize="9" scale="56" r:id="rId1"/>
  <headerFooter alignWithMargins="0">
    <oddFooter>&amp;C  &amp;P</oddFooter>
  </headerFooter>
  <rowBreaks count="5" manualBreakCount="5">
    <brk id="46" max="8" man="1"/>
    <brk id="82" max="8" man="1"/>
    <brk id="129" max="8" man="1"/>
    <brk id="172" max="8" man="1"/>
    <brk id="188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113/2011</dc:title>
  <dc:subject>wykonanie budżetu za I półr.2011 - załacznik nr 1 - dochody</dc:subject>
  <dc:creator>Genowefa Gniadek</dc:creator>
  <cp:keywords/>
  <dc:description/>
  <cp:lastModifiedBy>oem</cp:lastModifiedBy>
  <cp:lastPrinted>2011-08-31T06:44:39Z</cp:lastPrinted>
  <dcterms:created xsi:type="dcterms:W3CDTF">2010-03-24T12:38:57Z</dcterms:created>
  <dcterms:modified xsi:type="dcterms:W3CDTF">2011-08-31T06:48:53Z</dcterms:modified>
  <cp:category/>
  <cp:version/>
  <cp:contentType/>
  <cp:contentStatus/>
</cp:coreProperties>
</file>